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d2c760044ffdcc/Desktop/Denny's/Liquor inventory files/"/>
    </mc:Choice>
  </mc:AlternateContent>
  <xr:revisionPtr revIDLastSave="0" documentId="8_{B17BDCFC-292C-4A37-A4E6-D20D3ED769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ch 2023" sheetId="56" r:id="rId1"/>
    <sheet name="JUNE 2023" sheetId="57" r:id="rId2"/>
    <sheet name="July 2023" sheetId="58" r:id="rId3"/>
    <sheet name="August 2023" sheetId="61" r:id="rId4"/>
    <sheet name="September 2023" sheetId="62" r:id="rId5"/>
    <sheet name="October 2023" sheetId="63" r:id="rId6"/>
    <sheet name="November 2023" sheetId="64" r:id="rId7"/>
    <sheet name="December 2023" sheetId="65" r:id="rId8"/>
    <sheet name="Master 2023" sheetId="60" r:id="rId9"/>
  </sheets>
  <definedNames>
    <definedName name="_xlnm.Print_Area" localSheetId="3">'August 2023'!$A$1:$K$213</definedName>
    <definedName name="_xlnm.Print_Area" localSheetId="7">'December 2023'!$A$1:$K$214</definedName>
    <definedName name="_xlnm.Print_Area" localSheetId="2">'July 2023'!$A$1:$K$213</definedName>
    <definedName name="_xlnm.Print_Area" localSheetId="1">'JUNE 2023'!$A$1:$K$213</definedName>
    <definedName name="_xlnm.Print_Area" localSheetId="0">'March 2023'!$A$1:$K$207</definedName>
    <definedName name="_xlnm.Print_Area" localSheetId="8">'Master 2023'!$A$1:$K$213</definedName>
    <definedName name="_xlnm.Print_Area" localSheetId="6">'November 2023'!$A$1:$K$214</definedName>
    <definedName name="_xlnm.Print_Area" localSheetId="5">'October 2023'!$A$1:$K$214</definedName>
    <definedName name="_xlnm.Print_Area" localSheetId="4">'September 2023'!$A$1:$K$214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56" l="1"/>
  <c r="K39" i="56"/>
  <c r="K40" i="56"/>
  <c r="J39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G67" i="56"/>
  <c r="G68" i="56"/>
  <c r="G69" i="56"/>
  <c r="G70" i="56"/>
  <c r="G71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J66" i="56"/>
  <c r="K66" i="56"/>
  <c r="I75" i="56"/>
  <c r="I77" i="56"/>
  <c r="I79" i="56"/>
  <c r="I80" i="56"/>
  <c r="A131" i="57"/>
  <c r="A130" i="57"/>
  <c r="A129" i="57"/>
  <c r="A127" i="57"/>
  <c r="K127" i="57" s="1"/>
  <c r="A124" i="57"/>
  <c r="A123" i="57"/>
  <c r="A122" i="57"/>
  <c r="A120" i="57"/>
  <c r="K120" i="57" s="1"/>
  <c r="A119" i="57"/>
  <c r="K119" i="57" s="1"/>
  <c r="A118" i="57"/>
  <c r="K118" i="57" s="1"/>
  <c r="A117" i="57"/>
  <c r="A116" i="57"/>
  <c r="A115" i="57"/>
  <c r="K115" i="57" s="1"/>
  <c r="A114" i="57"/>
  <c r="A112" i="57"/>
  <c r="A111" i="57"/>
  <c r="A110" i="57"/>
  <c r="A109" i="57"/>
  <c r="A48" i="57"/>
  <c r="A47" i="57"/>
  <c r="A42" i="57"/>
  <c r="A36" i="57"/>
  <c r="A35" i="57"/>
  <c r="A5" i="57"/>
  <c r="J5" i="56"/>
  <c r="J227" i="65"/>
  <c r="H227" i="65"/>
  <c r="G227" i="65"/>
  <c r="F227" i="65"/>
  <c r="K227" i="65" s="1"/>
  <c r="J226" i="65"/>
  <c r="H226" i="65"/>
  <c r="G226" i="65"/>
  <c r="F226" i="65"/>
  <c r="K226" i="65" s="1"/>
  <c r="J225" i="65"/>
  <c r="K225" i="65" s="1"/>
  <c r="H225" i="65"/>
  <c r="G225" i="65"/>
  <c r="F225" i="65"/>
  <c r="J224" i="65"/>
  <c r="H224" i="65"/>
  <c r="G224" i="65"/>
  <c r="F224" i="65"/>
  <c r="K224" i="65" s="1"/>
  <c r="J211" i="65"/>
  <c r="J209" i="65"/>
  <c r="J208" i="65"/>
  <c r="K198" i="65"/>
  <c r="J198" i="65"/>
  <c r="G198" i="65"/>
  <c r="F198" i="65"/>
  <c r="G197" i="65"/>
  <c r="K197" i="65" s="1"/>
  <c r="F197" i="65"/>
  <c r="G196" i="65"/>
  <c r="K196" i="65" s="1"/>
  <c r="F196" i="65"/>
  <c r="K195" i="65"/>
  <c r="J195" i="65"/>
  <c r="G195" i="65"/>
  <c r="F195" i="65"/>
  <c r="G194" i="65"/>
  <c r="K194" i="65" s="1"/>
  <c r="F194" i="65"/>
  <c r="K193" i="65"/>
  <c r="J193" i="65"/>
  <c r="K192" i="65"/>
  <c r="J192" i="65"/>
  <c r="K191" i="65"/>
  <c r="J191" i="65"/>
  <c r="G190" i="65"/>
  <c r="K190" i="65" s="1"/>
  <c r="G189" i="65"/>
  <c r="K189" i="65" s="1"/>
  <c r="G188" i="65"/>
  <c r="K188" i="65" s="1"/>
  <c r="G187" i="65"/>
  <c r="J105" i="65" s="1"/>
  <c r="G186" i="65"/>
  <c r="K186" i="65" s="1"/>
  <c r="G185" i="65"/>
  <c r="K185" i="65" s="1"/>
  <c r="G184" i="65"/>
  <c r="K184" i="65" s="1"/>
  <c r="K183" i="65"/>
  <c r="J183" i="65"/>
  <c r="K182" i="65"/>
  <c r="G182" i="65"/>
  <c r="J182" i="65" s="1"/>
  <c r="H180" i="65"/>
  <c r="G180" i="65"/>
  <c r="K180" i="65" s="1"/>
  <c r="H179" i="65"/>
  <c r="G179" i="65"/>
  <c r="K179" i="65" s="1"/>
  <c r="K178" i="65"/>
  <c r="J178" i="65"/>
  <c r="H178" i="65"/>
  <c r="G178" i="65"/>
  <c r="H177" i="65"/>
  <c r="G177" i="65"/>
  <c r="K177" i="65" s="1"/>
  <c r="G176" i="65"/>
  <c r="K176" i="65" s="1"/>
  <c r="F176" i="65"/>
  <c r="K175" i="65"/>
  <c r="J175" i="65"/>
  <c r="G175" i="65"/>
  <c r="F175" i="65"/>
  <c r="G174" i="65"/>
  <c r="K174" i="65" s="1"/>
  <c r="K173" i="65"/>
  <c r="J173" i="65"/>
  <c r="K172" i="65"/>
  <c r="J172" i="65"/>
  <c r="K171" i="65"/>
  <c r="J171" i="65"/>
  <c r="K170" i="65"/>
  <c r="G170" i="65"/>
  <c r="J170" i="65" s="1"/>
  <c r="G169" i="65"/>
  <c r="K169" i="65" s="1"/>
  <c r="G168" i="65"/>
  <c r="K168" i="65" s="1"/>
  <c r="G167" i="65"/>
  <c r="K167" i="65" s="1"/>
  <c r="K166" i="65"/>
  <c r="G166" i="65"/>
  <c r="J166" i="65" s="1"/>
  <c r="G165" i="65"/>
  <c r="K165" i="65" s="1"/>
  <c r="G164" i="65"/>
  <c r="K164" i="65" s="1"/>
  <c r="G163" i="65"/>
  <c r="K163" i="65" s="1"/>
  <c r="K162" i="65"/>
  <c r="H218" i="65" s="1"/>
  <c r="J162" i="65"/>
  <c r="K150" i="65"/>
  <c r="H150" i="65"/>
  <c r="G150" i="65"/>
  <c r="J150" i="65" s="1"/>
  <c r="F150" i="65"/>
  <c r="K149" i="65"/>
  <c r="J149" i="65"/>
  <c r="G149" i="65"/>
  <c r="K148" i="65"/>
  <c r="J148" i="65"/>
  <c r="K147" i="65"/>
  <c r="G147" i="65"/>
  <c r="J147" i="65" s="1"/>
  <c r="J154" i="65" s="1"/>
  <c r="J156" i="65" s="1"/>
  <c r="J157" i="65" s="1"/>
  <c r="K135" i="65"/>
  <c r="J135" i="65"/>
  <c r="G135" i="65"/>
  <c r="K134" i="65"/>
  <c r="J134" i="65"/>
  <c r="G134" i="65"/>
  <c r="K133" i="65"/>
  <c r="G133" i="65"/>
  <c r="K132" i="65"/>
  <c r="J132" i="65"/>
  <c r="G132" i="65"/>
  <c r="K131" i="65"/>
  <c r="J131" i="65"/>
  <c r="G131" i="65"/>
  <c r="K130" i="65"/>
  <c r="J130" i="65"/>
  <c r="G130" i="65"/>
  <c r="K129" i="65"/>
  <c r="J129" i="65"/>
  <c r="G129" i="65"/>
  <c r="K128" i="65"/>
  <c r="J128" i="65"/>
  <c r="G128" i="65"/>
  <c r="K127" i="65"/>
  <c r="J127" i="65"/>
  <c r="G127" i="65"/>
  <c r="K125" i="65"/>
  <c r="J125" i="65"/>
  <c r="G125" i="65"/>
  <c r="K124" i="65"/>
  <c r="J124" i="65"/>
  <c r="G124" i="65"/>
  <c r="K123" i="65"/>
  <c r="J123" i="65"/>
  <c r="G123" i="65"/>
  <c r="K122" i="65"/>
  <c r="J122" i="65"/>
  <c r="G122" i="65"/>
  <c r="K121" i="65"/>
  <c r="J121" i="65"/>
  <c r="G121" i="65"/>
  <c r="K120" i="65"/>
  <c r="J120" i="65"/>
  <c r="G120" i="65"/>
  <c r="K119" i="65"/>
  <c r="J119" i="65"/>
  <c r="G119" i="65"/>
  <c r="K118" i="65"/>
  <c r="J118" i="65"/>
  <c r="G118" i="65"/>
  <c r="K117" i="65"/>
  <c r="J117" i="65"/>
  <c r="G117" i="65"/>
  <c r="K116" i="65"/>
  <c r="J116" i="65"/>
  <c r="G116" i="65"/>
  <c r="K115" i="65"/>
  <c r="J115" i="65"/>
  <c r="G115" i="65"/>
  <c r="K114" i="65"/>
  <c r="J114" i="65"/>
  <c r="K113" i="65"/>
  <c r="J113" i="65"/>
  <c r="G113" i="65"/>
  <c r="K112" i="65"/>
  <c r="J112" i="65"/>
  <c r="G112" i="65"/>
  <c r="K111" i="65"/>
  <c r="J111" i="65"/>
  <c r="G111" i="65"/>
  <c r="K110" i="65"/>
  <c r="H221" i="65" s="1"/>
  <c r="J110" i="65"/>
  <c r="J139" i="65" s="1"/>
  <c r="G110" i="65"/>
  <c r="K106" i="65"/>
  <c r="J106" i="65"/>
  <c r="G106" i="65"/>
  <c r="K97" i="65"/>
  <c r="J97" i="65"/>
  <c r="K96" i="65"/>
  <c r="J96" i="65"/>
  <c r="K95" i="65"/>
  <c r="J95" i="65"/>
  <c r="K94" i="65"/>
  <c r="J94" i="65"/>
  <c r="K93" i="65"/>
  <c r="J93" i="65"/>
  <c r="K92" i="65"/>
  <c r="J92" i="65"/>
  <c r="K91" i="65"/>
  <c r="J91" i="65"/>
  <c r="K90" i="65"/>
  <c r="J90" i="65"/>
  <c r="K89" i="65"/>
  <c r="J89" i="65"/>
  <c r="K88" i="65"/>
  <c r="J88" i="65"/>
  <c r="K87" i="65"/>
  <c r="J87" i="65"/>
  <c r="K86" i="65"/>
  <c r="J86" i="65"/>
  <c r="K85" i="65"/>
  <c r="J85" i="65"/>
  <c r="K84" i="65"/>
  <c r="J84" i="65"/>
  <c r="K83" i="65"/>
  <c r="J83" i="65"/>
  <c r="K82" i="65"/>
  <c r="J82" i="65"/>
  <c r="K81" i="65"/>
  <c r="J81" i="65"/>
  <c r="K80" i="65"/>
  <c r="J80" i="65"/>
  <c r="K79" i="65"/>
  <c r="J79" i="65"/>
  <c r="K78" i="65"/>
  <c r="J78" i="65"/>
  <c r="K77" i="65"/>
  <c r="J77" i="65"/>
  <c r="K76" i="65"/>
  <c r="J76" i="65"/>
  <c r="K75" i="65"/>
  <c r="J75" i="65"/>
  <c r="K74" i="65"/>
  <c r="J74" i="65"/>
  <c r="K73" i="65"/>
  <c r="J73" i="65"/>
  <c r="K72" i="65"/>
  <c r="J72" i="65"/>
  <c r="K71" i="65"/>
  <c r="J71" i="65"/>
  <c r="K70" i="65"/>
  <c r="J70" i="65"/>
  <c r="K69" i="65"/>
  <c r="J69" i="65"/>
  <c r="K68" i="65"/>
  <c r="J68" i="65"/>
  <c r="J101" i="65" s="1"/>
  <c r="J103" i="65" s="1"/>
  <c r="J104" i="65" s="1"/>
  <c r="K56" i="65"/>
  <c r="J56" i="65"/>
  <c r="K55" i="65"/>
  <c r="J55" i="65"/>
  <c r="K54" i="65"/>
  <c r="J54" i="65"/>
  <c r="K53" i="65"/>
  <c r="J53" i="65"/>
  <c r="K52" i="65"/>
  <c r="J52" i="65"/>
  <c r="K51" i="65"/>
  <c r="J51" i="65"/>
  <c r="K50" i="65"/>
  <c r="J50" i="65"/>
  <c r="K49" i="65"/>
  <c r="J49" i="65"/>
  <c r="K48" i="65"/>
  <c r="J48" i="65"/>
  <c r="K47" i="65"/>
  <c r="J47" i="65"/>
  <c r="K46" i="65"/>
  <c r="J46" i="65"/>
  <c r="K45" i="65"/>
  <c r="J45" i="65"/>
  <c r="K43" i="65"/>
  <c r="J43" i="65"/>
  <c r="K42" i="65"/>
  <c r="J42" i="65"/>
  <c r="K41" i="65"/>
  <c r="J41" i="65"/>
  <c r="K40" i="65"/>
  <c r="J40" i="65"/>
  <c r="K39" i="65"/>
  <c r="J39" i="65"/>
  <c r="K37" i="65"/>
  <c r="J37" i="65"/>
  <c r="K36" i="65"/>
  <c r="J36" i="65"/>
  <c r="K35" i="65"/>
  <c r="J35" i="65"/>
  <c r="K34" i="65"/>
  <c r="J34" i="65"/>
  <c r="K33" i="65"/>
  <c r="J33" i="65"/>
  <c r="K32" i="65"/>
  <c r="J32" i="65"/>
  <c r="K30" i="65"/>
  <c r="J30" i="65"/>
  <c r="K29" i="65"/>
  <c r="J29" i="65"/>
  <c r="K28" i="65"/>
  <c r="J28" i="65"/>
  <c r="K27" i="65"/>
  <c r="J27" i="65"/>
  <c r="K26" i="65"/>
  <c r="J26" i="65"/>
  <c r="K24" i="65"/>
  <c r="J24" i="65"/>
  <c r="K23" i="65"/>
  <c r="J23" i="65"/>
  <c r="K21" i="65"/>
  <c r="J21" i="65"/>
  <c r="K20" i="65"/>
  <c r="J20" i="65"/>
  <c r="K19" i="65"/>
  <c r="J19" i="65"/>
  <c r="K18" i="65"/>
  <c r="J18" i="65"/>
  <c r="K17" i="65"/>
  <c r="J17" i="65"/>
  <c r="K16" i="65"/>
  <c r="J16" i="65"/>
  <c r="K15" i="65"/>
  <c r="J15" i="65"/>
  <c r="K13" i="65"/>
  <c r="J13" i="65"/>
  <c r="K12" i="65"/>
  <c r="J12" i="65"/>
  <c r="K11" i="65"/>
  <c r="J11" i="65"/>
  <c r="K10" i="65"/>
  <c r="J10" i="65"/>
  <c r="K8" i="65"/>
  <c r="J8" i="65"/>
  <c r="K7" i="65"/>
  <c r="F220" i="65" s="1"/>
  <c r="J7" i="65"/>
  <c r="J60" i="65" s="1"/>
  <c r="K6" i="65"/>
  <c r="J6" i="65"/>
  <c r="K5" i="65"/>
  <c r="J5" i="65"/>
  <c r="J227" i="64"/>
  <c r="H227" i="64"/>
  <c r="G227" i="64"/>
  <c r="F227" i="64"/>
  <c r="K227" i="64" s="1"/>
  <c r="J226" i="64"/>
  <c r="H226" i="64"/>
  <c r="G226" i="64"/>
  <c r="F226" i="64"/>
  <c r="K226" i="64" s="1"/>
  <c r="J225" i="64"/>
  <c r="K225" i="64" s="1"/>
  <c r="H225" i="64"/>
  <c r="G225" i="64"/>
  <c r="F225" i="64"/>
  <c r="J224" i="64"/>
  <c r="H224" i="64"/>
  <c r="G224" i="64"/>
  <c r="F224" i="64"/>
  <c r="K224" i="64" s="1"/>
  <c r="J211" i="64"/>
  <c r="J209" i="64"/>
  <c r="J208" i="64"/>
  <c r="K198" i="64"/>
  <c r="J198" i="64"/>
  <c r="G198" i="64"/>
  <c r="F198" i="64"/>
  <c r="G197" i="64"/>
  <c r="K197" i="64" s="1"/>
  <c r="F197" i="64"/>
  <c r="G196" i="64"/>
  <c r="K196" i="64" s="1"/>
  <c r="F196" i="64"/>
  <c r="K195" i="64"/>
  <c r="J195" i="64"/>
  <c r="G195" i="64"/>
  <c r="F195" i="64"/>
  <c r="G194" i="64"/>
  <c r="K194" i="64" s="1"/>
  <c r="F194" i="64"/>
  <c r="K193" i="64"/>
  <c r="J193" i="64"/>
  <c r="K192" i="64"/>
  <c r="J192" i="64"/>
  <c r="K191" i="64"/>
  <c r="J191" i="64"/>
  <c r="G190" i="64"/>
  <c r="K190" i="64" s="1"/>
  <c r="G189" i="64"/>
  <c r="K189" i="64" s="1"/>
  <c r="G188" i="64"/>
  <c r="K188" i="64" s="1"/>
  <c r="G187" i="64"/>
  <c r="G186" i="64"/>
  <c r="K186" i="64" s="1"/>
  <c r="G185" i="64"/>
  <c r="K185" i="64" s="1"/>
  <c r="G184" i="64"/>
  <c r="K184" i="64" s="1"/>
  <c r="K183" i="64"/>
  <c r="J183" i="64"/>
  <c r="K182" i="64"/>
  <c r="G182" i="64"/>
  <c r="J182" i="64" s="1"/>
  <c r="H180" i="64"/>
  <c r="G180" i="64"/>
  <c r="K180" i="64" s="1"/>
  <c r="H179" i="64"/>
  <c r="G179" i="64"/>
  <c r="K179" i="64" s="1"/>
  <c r="K178" i="64"/>
  <c r="J178" i="64"/>
  <c r="H178" i="64"/>
  <c r="G178" i="64"/>
  <c r="H177" i="64"/>
  <c r="G177" i="64"/>
  <c r="K177" i="64" s="1"/>
  <c r="G176" i="64"/>
  <c r="K176" i="64" s="1"/>
  <c r="F176" i="64"/>
  <c r="K175" i="64"/>
  <c r="J175" i="64"/>
  <c r="G175" i="64"/>
  <c r="F175" i="64"/>
  <c r="G174" i="64"/>
  <c r="K174" i="64" s="1"/>
  <c r="K173" i="64"/>
  <c r="J173" i="64"/>
  <c r="K172" i="64"/>
  <c r="J172" i="64"/>
  <c r="K171" i="64"/>
  <c r="J171" i="64"/>
  <c r="K170" i="64"/>
  <c r="G170" i="64"/>
  <c r="J170" i="64" s="1"/>
  <c r="G169" i="64"/>
  <c r="K169" i="64" s="1"/>
  <c r="G168" i="64"/>
  <c r="K168" i="64" s="1"/>
  <c r="G167" i="64"/>
  <c r="K167" i="64" s="1"/>
  <c r="K166" i="64"/>
  <c r="G166" i="64"/>
  <c r="J166" i="64" s="1"/>
  <c r="G165" i="64"/>
  <c r="K165" i="64" s="1"/>
  <c r="G164" i="64"/>
  <c r="K164" i="64" s="1"/>
  <c r="G163" i="64"/>
  <c r="K163" i="64" s="1"/>
  <c r="K162" i="64"/>
  <c r="H218" i="64" s="1"/>
  <c r="J162" i="64"/>
  <c r="K150" i="64"/>
  <c r="H150" i="64"/>
  <c r="G150" i="64"/>
  <c r="J150" i="64" s="1"/>
  <c r="F150" i="64"/>
  <c r="K149" i="64"/>
  <c r="J149" i="64"/>
  <c r="G149" i="64"/>
  <c r="K148" i="64"/>
  <c r="J148" i="64"/>
  <c r="K147" i="64"/>
  <c r="G147" i="64"/>
  <c r="J147" i="64" s="1"/>
  <c r="J154" i="64" s="1"/>
  <c r="J156" i="64" s="1"/>
  <c r="J157" i="64" s="1"/>
  <c r="K135" i="64"/>
  <c r="J135" i="64"/>
  <c r="G135" i="64"/>
  <c r="K134" i="64"/>
  <c r="J134" i="64"/>
  <c r="G134" i="64"/>
  <c r="K133" i="64"/>
  <c r="G133" i="64"/>
  <c r="K132" i="64"/>
  <c r="J132" i="64"/>
  <c r="G132" i="64"/>
  <c r="K131" i="64"/>
  <c r="J131" i="64"/>
  <c r="G131" i="64"/>
  <c r="K130" i="64"/>
  <c r="J130" i="64"/>
  <c r="G130" i="64"/>
  <c r="K129" i="64"/>
  <c r="J129" i="64"/>
  <c r="G129" i="64"/>
  <c r="K128" i="64"/>
  <c r="J128" i="64"/>
  <c r="G128" i="64"/>
  <c r="K127" i="64"/>
  <c r="J127" i="64"/>
  <c r="G127" i="64"/>
  <c r="K125" i="64"/>
  <c r="J125" i="64"/>
  <c r="G125" i="64"/>
  <c r="K124" i="64"/>
  <c r="J124" i="64"/>
  <c r="G124" i="64"/>
  <c r="K123" i="64"/>
  <c r="J123" i="64"/>
  <c r="G123" i="64"/>
  <c r="K122" i="64"/>
  <c r="J122" i="64"/>
  <c r="G122" i="64"/>
  <c r="K121" i="64"/>
  <c r="J121" i="64"/>
  <c r="G121" i="64"/>
  <c r="K120" i="64"/>
  <c r="J120" i="64"/>
  <c r="G120" i="64"/>
  <c r="K119" i="64"/>
  <c r="J119" i="64"/>
  <c r="G119" i="64"/>
  <c r="K118" i="64"/>
  <c r="J118" i="64"/>
  <c r="G118" i="64"/>
  <c r="K117" i="64"/>
  <c r="J117" i="64"/>
  <c r="G117" i="64"/>
  <c r="K116" i="64"/>
  <c r="J116" i="64"/>
  <c r="G116" i="64"/>
  <c r="K115" i="64"/>
  <c r="J115" i="64"/>
  <c r="G115" i="64"/>
  <c r="K114" i="64"/>
  <c r="J114" i="64"/>
  <c r="K113" i="64"/>
  <c r="J113" i="64"/>
  <c r="G113" i="64"/>
  <c r="K112" i="64"/>
  <c r="J112" i="64"/>
  <c r="G112" i="64"/>
  <c r="K111" i="64"/>
  <c r="J111" i="64"/>
  <c r="G111" i="64"/>
  <c r="K110" i="64"/>
  <c r="H221" i="64" s="1"/>
  <c r="J110" i="64"/>
  <c r="J139" i="64" s="1"/>
  <c r="G110" i="64"/>
  <c r="K106" i="64"/>
  <c r="J106" i="64"/>
  <c r="G106" i="64"/>
  <c r="K97" i="64"/>
  <c r="J97" i="64"/>
  <c r="K96" i="64"/>
  <c r="J96" i="64"/>
  <c r="K95" i="64"/>
  <c r="J95" i="64"/>
  <c r="K94" i="64"/>
  <c r="J94" i="64"/>
  <c r="K93" i="64"/>
  <c r="J93" i="64"/>
  <c r="K92" i="64"/>
  <c r="J92" i="64"/>
  <c r="K91" i="64"/>
  <c r="J91" i="64"/>
  <c r="K90" i="64"/>
  <c r="J90" i="64"/>
  <c r="K89" i="64"/>
  <c r="J89" i="64"/>
  <c r="K88" i="64"/>
  <c r="J88" i="64"/>
  <c r="K87" i="64"/>
  <c r="J87" i="64"/>
  <c r="K86" i="64"/>
  <c r="J86" i="64"/>
  <c r="K85" i="64"/>
  <c r="J85" i="64"/>
  <c r="K84" i="64"/>
  <c r="J84" i="64"/>
  <c r="K83" i="64"/>
  <c r="J83" i="64"/>
  <c r="K82" i="64"/>
  <c r="J82" i="64"/>
  <c r="K81" i="64"/>
  <c r="J81" i="64"/>
  <c r="K80" i="64"/>
  <c r="J80" i="64"/>
  <c r="K79" i="64"/>
  <c r="J79" i="64"/>
  <c r="K78" i="64"/>
  <c r="J78" i="64"/>
  <c r="K77" i="64"/>
  <c r="J77" i="64"/>
  <c r="K76" i="64"/>
  <c r="J76" i="64"/>
  <c r="K75" i="64"/>
  <c r="J75" i="64"/>
  <c r="K74" i="64"/>
  <c r="J74" i="64"/>
  <c r="K73" i="64"/>
  <c r="J73" i="64"/>
  <c r="K72" i="64"/>
  <c r="J72" i="64"/>
  <c r="K71" i="64"/>
  <c r="J71" i="64"/>
  <c r="K70" i="64"/>
  <c r="J70" i="64"/>
  <c r="K69" i="64"/>
  <c r="J69" i="64"/>
  <c r="K68" i="64"/>
  <c r="J68" i="64"/>
  <c r="J101" i="64" s="1"/>
  <c r="J103" i="64" s="1"/>
  <c r="J104" i="64" s="1"/>
  <c r="K56" i="64"/>
  <c r="J56" i="64"/>
  <c r="K55" i="64"/>
  <c r="J55" i="64"/>
  <c r="K54" i="64"/>
  <c r="J54" i="64"/>
  <c r="K53" i="64"/>
  <c r="J53" i="64"/>
  <c r="K52" i="64"/>
  <c r="J52" i="64"/>
  <c r="K51" i="64"/>
  <c r="J51" i="64"/>
  <c r="K50" i="64"/>
  <c r="J50" i="64"/>
  <c r="K49" i="64"/>
  <c r="J49" i="64"/>
  <c r="K48" i="64"/>
  <c r="J48" i="64"/>
  <c r="K47" i="64"/>
  <c r="J47" i="64"/>
  <c r="K46" i="64"/>
  <c r="J46" i="64"/>
  <c r="K45" i="64"/>
  <c r="J45" i="64"/>
  <c r="K43" i="64"/>
  <c r="J43" i="64"/>
  <c r="K42" i="64"/>
  <c r="J42" i="64"/>
  <c r="K41" i="64"/>
  <c r="J41" i="64"/>
  <c r="K40" i="64"/>
  <c r="J40" i="64"/>
  <c r="K39" i="64"/>
  <c r="J39" i="64"/>
  <c r="K37" i="64"/>
  <c r="J37" i="64"/>
  <c r="K36" i="64"/>
  <c r="J36" i="64"/>
  <c r="K35" i="64"/>
  <c r="J35" i="64"/>
  <c r="K34" i="64"/>
  <c r="J34" i="64"/>
  <c r="K33" i="64"/>
  <c r="J33" i="64"/>
  <c r="K32" i="64"/>
  <c r="J32" i="64"/>
  <c r="K30" i="64"/>
  <c r="J30" i="64"/>
  <c r="K29" i="64"/>
  <c r="J29" i="64"/>
  <c r="K28" i="64"/>
  <c r="J28" i="64"/>
  <c r="K27" i="64"/>
  <c r="J27" i="64"/>
  <c r="K26" i="64"/>
  <c r="J26" i="64"/>
  <c r="K24" i="64"/>
  <c r="J24" i="64"/>
  <c r="K23" i="64"/>
  <c r="J23" i="64"/>
  <c r="K21" i="64"/>
  <c r="J21" i="64"/>
  <c r="K20" i="64"/>
  <c r="J20" i="64"/>
  <c r="K19" i="64"/>
  <c r="J19" i="64"/>
  <c r="K18" i="64"/>
  <c r="J18" i="64"/>
  <c r="K17" i="64"/>
  <c r="J17" i="64"/>
  <c r="K16" i="64"/>
  <c r="J16" i="64"/>
  <c r="K15" i="64"/>
  <c r="J15" i="64"/>
  <c r="K13" i="64"/>
  <c r="J13" i="64"/>
  <c r="K12" i="64"/>
  <c r="J12" i="64"/>
  <c r="K11" i="64"/>
  <c r="J11" i="64"/>
  <c r="K10" i="64"/>
  <c r="J10" i="64"/>
  <c r="K8" i="64"/>
  <c r="J8" i="64"/>
  <c r="K7" i="64"/>
  <c r="F220" i="64" s="1"/>
  <c r="J7" i="64"/>
  <c r="J60" i="64" s="1"/>
  <c r="K6" i="64"/>
  <c r="J6" i="64"/>
  <c r="K5" i="64"/>
  <c r="J5" i="64"/>
  <c r="J227" i="63"/>
  <c r="H227" i="63"/>
  <c r="G227" i="63"/>
  <c r="F227" i="63"/>
  <c r="K227" i="63" s="1"/>
  <c r="J226" i="63"/>
  <c r="H226" i="63"/>
  <c r="G226" i="63"/>
  <c r="F226" i="63"/>
  <c r="K226" i="63" s="1"/>
  <c r="J225" i="63"/>
  <c r="H225" i="63"/>
  <c r="G225" i="63"/>
  <c r="F225" i="63"/>
  <c r="K225" i="63" s="1"/>
  <c r="K224" i="63"/>
  <c r="J224" i="63"/>
  <c r="H224" i="63"/>
  <c r="G224" i="63"/>
  <c r="F224" i="63"/>
  <c r="J211" i="63"/>
  <c r="J209" i="63"/>
  <c r="J208" i="63"/>
  <c r="J198" i="63"/>
  <c r="G198" i="63"/>
  <c r="K198" i="63" s="1"/>
  <c r="F198" i="63"/>
  <c r="J197" i="63"/>
  <c r="G197" i="63"/>
  <c r="K197" i="63" s="1"/>
  <c r="F197" i="63"/>
  <c r="G196" i="63"/>
  <c r="K196" i="63" s="1"/>
  <c r="F196" i="63"/>
  <c r="J195" i="63"/>
  <c r="G195" i="63"/>
  <c r="K195" i="63" s="1"/>
  <c r="F195" i="63"/>
  <c r="J194" i="63"/>
  <c r="G194" i="63"/>
  <c r="K194" i="63" s="1"/>
  <c r="F194" i="63"/>
  <c r="K193" i="63"/>
  <c r="J193" i="63"/>
  <c r="K192" i="63"/>
  <c r="J192" i="63"/>
  <c r="K191" i="63"/>
  <c r="J191" i="63"/>
  <c r="K190" i="63"/>
  <c r="G190" i="63"/>
  <c r="J190" i="63" s="1"/>
  <c r="K189" i="63"/>
  <c r="J189" i="63"/>
  <c r="G189" i="63"/>
  <c r="K188" i="63"/>
  <c r="G188" i="63"/>
  <c r="J188" i="63" s="1"/>
  <c r="G187" i="63"/>
  <c r="J187" i="63" s="1"/>
  <c r="K186" i="63"/>
  <c r="G186" i="63"/>
  <c r="J186" i="63" s="1"/>
  <c r="K185" i="63"/>
  <c r="J185" i="63"/>
  <c r="G185" i="63"/>
  <c r="K184" i="63"/>
  <c r="G184" i="63"/>
  <c r="J184" i="63" s="1"/>
  <c r="K183" i="63"/>
  <c r="J183" i="63"/>
  <c r="K182" i="63"/>
  <c r="J182" i="63"/>
  <c r="G182" i="63"/>
  <c r="K180" i="63"/>
  <c r="J180" i="63"/>
  <c r="H180" i="63"/>
  <c r="G180" i="63"/>
  <c r="H179" i="63"/>
  <c r="G179" i="63"/>
  <c r="K179" i="63" s="1"/>
  <c r="K178" i="63"/>
  <c r="J178" i="63"/>
  <c r="H178" i="63"/>
  <c r="G178" i="63"/>
  <c r="K177" i="63"/>
  <c r="J177" i="63"/>
  <c r="H177" i="63"/>
  <c r="G177" i="63"/>
  <c r="K176" i="63"/>
  <c r="G176" i="63"/>
  <c r="J176" i="63" s="1"/>
  <c r="F176" i="63"/>
  <c r="J175" i="63"/>
  <c r="G175" i="63"/>
  <c r="K175" i="63" s="1"/>
  <c r="F175" i="63"/>
  <c r="J174" i="63"/>
  <c r="G174" i="63"/>
  <c r="K174" i="63" s="1"/>
  <c r="K173" i="63"/>
  <c r="J173" i="63"/>
  <c r="K172" i="63"/>
  <c r="J172" i="63"/>
  <c r="K171" i="63"/>
  <c r="J171" i="63"/>
  <c r="K170" i="63"/>
  <c r="J170" i="63"/>
  <c r="G170" i="63"/>
  <c r="J169" i="63"/>
  <c r="G169" i="63"/>
  <c r="K169" i="63" s="1"/>
  <c r="K168" i="63"/>
  <c r="J168" i="63"/>
  <c r="G168" i="63"/>
  <c r="G167" i="63"/>
  <c r="K167" i="63" s="1"/>
  <c r="K166" i="63"/>
  <c r="J166" i="63"/>
  <c r="G166" i="63"/>
  <c r="J165" i="63"/>
  <c r="G165" i="63"/>
  <c r="K165" i="63" s="1"/>
  <c r="K164" i="63"/>
  <c r="J164" i="63"/>
  <c r="G164" i="63"/>
  <c r="G163" i="63"/>
  <c r="K163" i="63" s="1"/>
  <c r="K162" i="63"/>
  <c r="H218" i="63" s="1"/>
  <c r="J162" i="63"/>
  <c r="K150" i="63"/>
  <c r="J150" i="63"/>
  <c r="H150" i="63"/>
  <c r="G150" i="63"/>
  <c r="F150" i="63"/>
  <c r="K149" i="63"/>
  <c r="J149" i="63"/>
  <c r="G149" i="63"/>
  <c r="K148" i="63"/>
  <c r="J148" i="63"/>
  <c r="K147" i="63"/>
  <c r="J147" i="63"/>
  <c r="J154" i="63" s="1"/>
  <c r="J156" i="63" s="1"/>
  <c r="J157" i="63" s="1"/>
  <c r="G147" i="63"/>
  <c r="K135" i="63"/>
  <c r="J135" i="63"/>
  <c r="G135" i="63"/>
  <c r="K134" i="63"/>
  <c r="J134" i="63"/>
  <c r="G134" i="63"/>
  <c r="K133" i="63"/>
  <c r="G133" i="63"/>
  <c r="K132" i="63"/>
  <c r="J132" i="63"/>
  <c r="G132" i="63"/>
  <c r="K131" i="63"/>
  <c r="J131" i="63"/>
  <c r="G131" i="63"/>
  <c r="K130" i="63"/>
  <c r="J130" i="63"/>
  <c r="G130" i="63"/>
  <c r="K129" i="63"/>
  <c r="J129" i="63"/>
  <c r="G129" i="63"/>
  <c r="K128" i="63"/>
  <c r="J128" i="63"/>
  <c r="G128" i="63"/>
  <c r="K127" i="63"/>
  <c r="J127" i="63"/>
  <c r="G127" i="63"/>
  <c r="K125" i="63"/>
  <c r="J125" i="63"/>
  <c r="G125" i="63"/>
  <c r="K124" i="63"/>
  <c r="J124" i="63"/>
  <c r="G124" i="63"/>
  <c r="K123" i="63"/>
  <c r="G123" i="63"/>
  <c r="K122" i="63"/>
  <c r="J122" i="63"/>
  <c r="G122" i="63"/>
  <c r="K121" i="63"/>
  <c r="J121" i="63"/>
  <c r="G121" i="63"/>
  <c r="K120" i="63"/>
  <c r="G120" i="63"/>
  <c r="K119" i="63"/>
  <c r="J119" i="63"/>
  <c r="G119" i="63"/>
  <c r="K118" i="63"/>
  <c r="J118" i="63"/>
  <c r="G118" i="63"/>
  <c r="K117" i="63"/>
  <c r="G117" i="63"/>
  <c r="K116" i="63"/>
  <c r="J116" i="63"/>
  <c r="G116" i="63"/>
  <c r="K115" i="63"/>
  <c r="J115" i="63"/>
  <c r="G115" i="63"/>
  <c r="K114" i="63"/>
  <c r="J113" i="63"/>
  <c r="G113" i="63"/>
  <c r="K112" i="63"/>
  <c r="J112" i="63"/>
  <c r="G112" i="63"/>
  <c r="K111" i="63"/>
  <c r="J111" i="63"/>
  <c r="G111" i="63"/>
  <c r="K110" i="63"/>
  <c r="G110" i="63"/>
  <c r="K106" i="63"/>
  <c r="J106" i="63"/>
  <c r="G106" i="63"/>
  <c r="K97" i="63"/>
  <c r="K96" i="63"/>
  <c r="K95" i="63"/>
  <c r="K94" i="63"/>
  <c r="J94" i="63"/>
  <c r="K93" i="63"/>
  <c r="J92" i="63"/>
  <c r="K91" i="63"/>
  <c r="K90" i="63"/>
  <c r="J90" i="63"/>
  <c r="K89" i="63"/>
  <c r="K88" i="63"/>
  <c r="K87" i="63"/>
  <c r="K86" i="63"/>
  <c r="J86" i="63"/>
  <c r="K85" i="63"/>
  <c r="J85" i="63"/>
  <c r="K84" i="63"/>
  <c r="K83" i="63"/>
  <c r="J83" i="63"/>
  <c r="K82" i="63"/>
  <c r="J82" i="63"/>
  <c r="K81" i="63"/>
  <c r="J81" i="63"/>
  <c r="J80" i="63"/>
  <c r="K79" i="63"/>
  <c r="J79" i="63"/>
  <c r="K78" i="63"/>
  <c r="J78" i="63"/>
  <c r="K77" i="63"/>
  <c r="J77" i="63"/>
  <c r="J76" i="63"/>
  <c r="K75" i="63"/>
  <c r="J75" i="63"/>
  <c r="K74" i="63"/>
  <c r="K73" i="63"/>
  <c r="J73" i="63"/>
  <c r="K72" i="63"/>
  <c r="K71" i="63"/>
  <c r="J71" i="63"/>
  <c r="K70" i="63"/>
  <c r="K69" i="63"/>
  <c r="J69" i="63"/>
  <c r="K68" i="63"/>
  <c r="K56" i="63"/>
  <c r="J56" i="63"/>
  <c r="K55" i="63"/>
  <c r="J55" i="63"/>
  <c r="K54" i="63"/>
  <c r="J54" i="63"/>
  <c r="K53" i="63"/>
  <c r="J53" i="63"/>
  <c r="K52" i="63"/>
  <c r="J52" i="63"/>
  <c r="K51" i="63"/>
  <c r="J51" i="63"/>
  <c r="K50" i="63"/>
  <c r="J50" i="63"/>
  <c r="K49" i="63"/>
  <c r="K48" i="63"/>
  <c r="J48" i="63"/>
  <c r="K47" i="63"/>
  <c r="J47" i="63"/>
  <c r="K46" i="63"/>
  <c r="J46" i="63"/>
  <c r="K45" i="63"/>
  <c r="K43" i="63"/>
  <c r="K42" i="63"/>
  <c r="K41" i="63"/>
  <c r="J41" i="63"/>
  <c r="K40" i="63"/>
  <c r="J40" i="63"/>
  <c r="K39" i="63"/>
  <c r="K37" i="63"/>
  <c r="J37" i="63"/>
  <c r="K36" i="63"/>
  <c r="K35" i="63"/>
  <c r="J35" i="63"/>
  <c r="K34" i="63"/>
  <c r="K33" i="63"/>
  <c r="J33" i="63"/>
  <c r="K32" i="63"/>
  <c r="J32" i="63"/>
  <c r="K30" i="63"/>
  <c r="J30" i="63"/>
  <c r="K29" i="63"/>
  <c r="J29" i="63"/>
  <c r="K28" i="63"/>
  <c r="K27" i="63"/>
  <c r="J27" i="63"/>
  <c r="K26" i="63"/>
  <c r="J26" i="63"/>
  <c r="K24" i="63"/>
  <c r="J24" i="63"/>
  <c r="J23" i="63"/>
  <c r="K21" i="63"/>
  <c r="J21" i="63"/>
  <c r="K20" i="63"/>
  <c r="J20" i="63"/>
  <c r="K19" i="63"/>
  <c r="J19" i="63"/>
  <c r="K18" i="63"/>
  <c r="K17" i="63"/>
  <c r="J17" i="63"/>
  <c r="K16" i="63"/>
  <c r="J16" i="63"/>
  <c r="K15" i="63"/>
  <c r="J15" i="63"/>
  <c r="J13" i="63"/>
  <c r="K12" i="63"/>
  <c r="J12" i="63"/>
  <c r="K11" i="63"/>
  <c r="J11" i="63"/>
  <c r="K10" i="63"/>
  <c r="J10" i="63"/>
  <c r="K8" i="63"/>
  <c r="J8" i="63"/>
  <c r="K7" i="63"/>
  <c r="J7" i="63"/>
  <c r="J6" i="63"/>
  <c r="K6" i="63"/>
  <c r="K5" i="63"/>
  <c r="F220" i="63" s="1"/>
  <c r="J5" i="63"/>
  <c r="J78" i="62"/>
  <c r="J79" i="62"/>
  <c r="J80" i="62"/>
  <c r="J81" i="62"/>
  <c r="J82" i="62"/>
  <c r="J83" i="62"/>
  <c r="J84" i="62"/>
  <c r="J85" i="62"/>
  <c r="J86" i="62"/>
  <c r="J87" i="62"/>
  <c r="J88" i="62"/>
  <c r="J89" i="62"/>
  <c r="J90" i="62"/>
  <c r="J91" i="62"/>
  <c r="J92" i="62"/>
  <c r="J93" i="62"/>
  <c r="J94" i="62"/>
  <c r="J95" i="62"/>
  <c r="J96" i="62"/>
  <c r="J97" i="62"/>
  <c r="J69" i="62"/>
  <c r="J70" i="62"/>
  <c r="J71" i="62"/>
  <c r="J72" i="62"/>
  <c r="J73" i="62"/>
  <c r="J74" i="62"/>
  <c r="J75" i="62"/>
  <c r="J76" i="62"/>
  <c r="J77" i="62"/>
  <c r="J68" i="62"/>
  <c r="I69" i="62"/>
  <c r="I125" i="62"/>
  <c r="I124" i="62"/>
  <c r="I123" i="62"/>
  <c r="K123" i="62" s="1"/>
  <c r="I122" i="62"/>
  <c r="I121" i="62"/>
  <c r="K121" i="62" s="1"/>
  <c r="I120" i="62"/>
  <c r="I119" i="62"/>
  <c r="I117" i="62"/>
  <c r="K117" i="62" s="1"/>
  <c r="I116" i="62"/>
  <c r="I115" i="62"/>
  <c r="K115" i="62" s="1"/>
  <c r="I114" i="62"/>
  <c r="K114" i="62" s="1"/>
  <c r="I113" i="62"/>
  <c r="I110" i="62"/>
  <c r="K110" i="62" s="1"/>
  <c r="I97" i="62"/>
  <c r="I96" i="62"/>
  <c r="K96" i="62" s="1"/>
  <c r="I95" i="62"/>
  <c r="I94" i="62"/>
  <c r="I93" i="62"/>
  <c r="I92" i="62"/>
  <c r="I91" i="62"/>
  <c r="I90" i="62"/>
  <c r="I89" i="62"/>
  <c r="I88" i="62"/>
  <c r="I87" i="62"/>
  <c r="K87" i="62" s="1"/>
  <c r="I86" i="62"/>
  <c r="I84" i="62"/>
  <c r="I83" i="62"/>
  <c r="I82" i="62"/>
  <c r="K82" i="62" s="1"/>
  <c r="I81" i="62"/>
  <c r="I80" i="62"/>
  <c r="K80" i="62" s="1"/>
  <c r="I79" i="62"/>
  <c r="I78" i="62"/>
  <c r="I77" i="62"/>
  <c r="I76" i="62"/>
  <c r="K76" i="62" s="1"/>
  <c r="I74" i="62"/>
  <c r="I73" i="62"/>
  <c r="K73" i="62" s="1"/>
  <c r="I72" i="62"/>
  <c r="K72" i="62" s="1"/>
  <c r="I71" i="62"/>
  <c r="I70" i="62"/>
  <c r="K70" i="62" s="1"/>
  <c r="I68" i="62"/>
  <c r="I55" i="62"/>
  <c r="J55" i="62" s="1"/>
  <c r="K51" i="62"/>
  <c r="J51" i="62"/>
  <c r="I52" i="62"/>
  <c r="I50" i="62"/>
  <c r="K50" i="62" s="1"/>
  <c r="I49" i="62"/>
  <c r="I48" i="62"/>
  <c r="K48" i="62" s="1"/>
  <c r="I46" i="62"/>
  <c r="K46" i="62" s="1"/>
  <c r="I45" i="62"/>
  <c r="I43" i="62"/>
  <c r="K43" i="62" s="1"/>
  <c r="I42" i="62"/>
  <c r="K42" i="62" s="1"/>
  <c r="I39" i="62"/>
  <c r="K39" i="62" s="1"/>
  <c r="I37" i="62"/>
  <c r="J37" i="62" s="1"/>
  <c r="I36" i="62"/>
  <c r="J36" i="62" s="1"/>
  <c r="I35" i="62"/>
  <c r="K35" i="62" s="1"/>
  <c r="I34" i="62"/>
  <c r="K34" i="62" s="1"/>
  <c r="I30" i="62"/>
  <c r="I29" i="62"/>
  <c r="J29" i="62" s="1"/>
  <c r="I28" i="62"/>
  <c r="K28" i="62" s="1"/>
  <c r="I27" i="62"/>
  <c r="K27" i="62" s="1"/>
  <c r="I26" i="62"/>
  <c r="J26" i="62" s="1"/>
  <c r="I24" i="62"/>
  <c r="K24" i="62" s="1"/>
  <c r="I23" i="62"/>
  <c r="K23" i="62" s="1"/>
  <c r="I21" i="62"/>
  <c r="J21" i="62" s="1"/>
  <c r="I20" i="62"/>
  <c r="K20" i="62" s="1"/>
  <c r="I19" i="62"/>
  <c r="I18" i="62"/>
  <c r="J18" i="62" s="1"/>
  <c r="I17" i="62"/>
  <c r="K17" i="62" s="1"/>
  <c r="I16" i="62"/>
  <c r="K16" i="62" s="1"/>
  <c r="I15" i="62"/>
  <c r="J15" i="62" s="1"/>
  <c r="I13" i="62"/>
  <c r="K13" i="62" s="1"/>
  <c r="I12" i="62"/>
  <c r="K12" i="62" s="1"/>
  <c r="I11" i="62"/>
  <c r="K11" i="62" s="1"/>
  <c r="I10" i="62"/>
  <c r="J10" i="62" s="1"/>
  <c r="I7" i="62"/>
  <c r="I6" i="62"/>
  <c r="J6" i="62" s="1"/>
  <c r="I5" i="62"/>
  <c r="K5" i="62" s="1"/>
  <c r="J227" i="62"/>
  <c r="K227" i="62" s="1"/>
  <c r="H227" i="62"/>
  <c r="G227" i="62"/>
  <c r="F227" i="62"/>
  <c r="J226" i="62"/>
  <c r="H226" i="62"/>
  <c r="G226" i="62"/>
  <c r="F226" i="62"/>
  <c r="K226" i="62" s="1"/>
  <c r="J225" i="62"/>
  <c r="H225" i="62"/>
  <c r="G225" i="62"/>
  <c r="F225" i="62"/>
  <c r="K225" i="62" s="1"/>
  <c r="J224" i="62"/>
  <c r="H224" i="62"/>
  <c r="G224" i="62"/>
  <c r="F224" i="62"/>
  <c r="K224" i="62" s="1"/>
  <c r="J211" i="62"/>
  <c r="J209" i="62"/>
  <c r="J208" i="62"/>
  <c r="G198" i="62"/>
  <c r="K198" i="62" s="1"/>
  <c r="F198" i="62"/>
  <c r="G197" i="62"/>
  <c r="K197" i="62" s="1"/>
  <c r="F197" i="62"/>
  <c r="G196" i="62"/>
  <c r="K196" i="62" s="1"/>
  <c r="F196" i="62"/>
  <c r="G195" i="62"/>
  <c r="K195" i="62" s="1"/>
  <c r="F195" i="62"/>
  <c r="G194" i="62"/>
  <c r="K194" i="62" s="1"/>
  <c r="F194" i="62"/>
  <c r="K193" i="62"/>
  <c r="J193" i="62"/>
  <c r="K192" i="62"/>
  <c r="J192" i="62"/>
  <c r="K191" i="62"/>
  <c r="J191" i="62"/>
  <c r="K190" i="62"/>
  <c r="G190" i="62"/>
  <c r="J190" i="62" s="1"/>
  <c r="G189" i="62"/>
  <c r="K189" i="62" s="1"/>
  <c r="G188" i="62"/>
  <c r="K188" i="62" s="1"/>
  <c r="G187" i="62"/>
  <c r="K187" i="62" s="1"/>
  <c r="G186" i="62"/>
  <c r="K186" i="62" s="1"/>
  <c r="G185" i="62"/>
  <c r="K185" i="62" s="1"/>
  <c r="G184" i="62"/>
  <c r="J184" i="62" s="1"/>
  <c r="K183" i="62"/>
  <c r="J183" i="62"/>
  <c r="G182" i="62"/>
  <c r="K182" i="62" s="1"/>
  <c r="H180" i="62"/>
  <c r="G180" i="62"/>
  <c r="J180" i="62" s="1"/>
  <c r="K179" i="62"/>
  <c r="H179" i="62"/>
  <c r="G179" i="62"/>
  <c r="J179" i="62" s="1"/>
  <c r="H178" i="62"/>
  <c r="G178" i="62"/>
  <c r="J178" i="62" s="1"/>
  <c r="H177" i="62"/>
  <c r="G177" i="62"/>
  <c r="K177" i="62" s="1"/>
  <c r="G176" i="62"/>
  <c r="J176" i="62" s="1"/>
  <c r="F176" i="62"/>
  <c r="G175" i="62"/>
  <c r="K175" i="62" s="1"/>
  <c r="F175" i="62"/>
  <c r="G174" i="62"/>
  <c r="K174" i="62" s="1"/>
  <c r="K173" i="62"/>
  <c r="J173" i="62"/>
  <c r="K172" i="62"/>
  <c r="J172" i="62"/>
  <c r="K171" i="62"/>
  <c r="J171" i="62"/>
  <c r="G170" i="62"/>
  <c r="K170" i="62" s="1"/>
  <c r="G169" i="62"/>
  <c r="K169" i="62" s="1"/>
  <c r="G168" i="62"/>
  <c r="K168" i="62" s="1"/>
  <c r="G167" i="62"/>
  <c r="K167" i="62" s="1"/>
  <c r="G166" i="62"/>
  <c r="K166" i="62" s="1"/>
  <c r="G165" i="62"/>
  <c r="K165" i="62" s="1"/>
  <c r="G164" i="62"/>
  <c r="K164" i="62" s="1"/>
  <c r="G163" i="62"/>
  <c r="K163" i="62" s="1"/>
  <c r="K162" i="62"/>
  <c r="J162" i="62"/>
  <c r="K150" i="62"/>
  <c r="H150" i="62"/>
  <c r="G150" i="62"/>
  <c r="J150" i="62" s="1"/>
  <c r="F150" i="62"/>
  <c r="K149" i="62"/>
  <c r="G149" i="62"/>
  <c r="J149" i="62" s="1"/>
  <c r="K148" i="62"/>
  <c r="J148" i="62"/>
  <c r="K147" i="62"/>
  <c r="G147" i="62"/>
  <c r="J147" i="62" s="1"/>
  <c r="K135" i="62"/>
  <c r="J135" i="62"/>
  <c r="G135" i="62"/>
  <c r="K134" i="62"/>
  <c r="J134" i="62"/>
  <c r="G134" i="62"/>
  <c r="K133" i="62"/>
  <c r="G133" i="62"/>
  <c r="K132" i="62"/>
  <c r="J132" i="62"/>
  <c r="G132" i="62"/>
  <c r="K131" i="62"/>
  <c r="J131" i="62"/>
  <c r="G131" i="62"/>
  <c r="K130" i="62"/>
  <c r="J130" i="62"/>
  <c r="G130" i="62"/>
  <c r="K129" i="62"/>
  <c r="J129" i="62"/>
  <c r="G129" i="62"/>
  <c r="K128" i="62"/>
  <c r="J128" i="62"/>
  <c r="G128" i="62"/>
  <c r="K127" i="62"/>
  <c r="J127" i="62"/>
  <c r="G127" i="62"/>
  <c r="K125" i="62"/>
  <c r="J125" i="62"/>
  <c r="G125" i="62"/>
  <c r="K124" i="62"/>
  <c r="J124" i="62"/>
  <c r="G124" i="62"/>
  <c r="G123" i="62"/>
  <c r="K122" i="62"/>
  <c r="J122" i="62"/>
  <c r="G122" i="62"/>
  <c r="J121" i="62"/>
  <c r="G121" i="62"/>
  <c r="K120" i="62"/>
  <c r="J120" i="62"/>
  <c r="G120" i="62"/>
  <c r="K119" i="62"/>
  <c r="G119" i="62"/>
  <c r="K118" i="62"/>
  <c r="J118" i="62"/>
  <c r="G118" i="62"/>
  <c r="G117" i="62"/>
  <c r="K116" i="62"/>
  <c r="J116" i="62"/>
  <c r="G116" i="62"/>
  <c r="G115" i="62"/>
  <c r="K113" i="62"/>
  <c r="G113" i="62"/>
  <c r="K112" i="62"/>
  <c r="J112" i="62"/>
  <c r="G112" i="62"/>
  <c r="K111" i="62"/>
  <c r="J111" i="62"/>
  <c r="G111" i="62"/>
  <c r="G110" i="62"/>
  <c r="K106" i="62"/>
  <c r="J106" i="62"/>
  <c r="G106" i="62"/>
  <c r="K95" i="62"/>
  <c r="K94" i="62"/>
  <c r="K93" i="62"/>
  <c r="K92" i="62"/>
  <c r="K91" i="62"/>
  <c r="K90" i="62"/>
  <c r="K89" i="62"/>
  <c r="K88" i="62"/>
  <c r="K86" i="62"/>
  <c r="K85" i="62"/>
  <c r="K84" i="62"/>
  <c r="K83" i="62"/>
  <c r="K79" i="62"/>
  <c r="K78" i="62"/>
  <c r="K75" i="62"/>
  <c r="K74" i="62"/>
  <c r="K69" i="62"/>
  <c r="K68" i="62"/>
  <c r="K56" i="62"/>
  <c r="J56" i="62"/>
  <c r="K54" i="62"/>
  <c r="J54" i="62"/>
  <c r="K53" i="62"/>
  <c r="J53" i="62"/>
  <c r="J52" i="62"/>
  <c r="K52" i="62"/>
  <c r="K49" i="62"/>
  <c r="J49" i="62"/>
  <c r="K47" i="62"/>
  <c r="J47" i="62"/>
  <c r="K45" i="62"/>
  <c r="J43" i="62"/>
  <c r="J42" i="62"/>
  <c r="K41" i="62"/>
  <c r="J41" i="62"/>
  <c r="K40" i="62"/>
  <c r="J40" i="62"/>
  <c r="K33" i="62"/>
  <c r="J33" i="62"/>
  <c r="K32" i="62"/>
  <c r="J32" i="62"/>
  <c r="K30" i="62"/>
  <c r="J30" i="62"/>
  <c r="K29" i="62"/>
  <c r="J27" i="62"/>
  <c r="K26" i="62"/>
  <c r="J20" i="62"/>
  <c r="K19" i="62"/>
  <c r="J19" i="62"/>
  <c r="J11" i="62"/>
  <c r="K10" i="62"/>
  <c r="K8" i="62"/>
  <c r="J8" i="62"/>
  <c r="K7" i="62"/>
  <c r="J7" i="62"/>
  <c r="K6" i="62"/>
  <c r="I94" i="61"/>
  <c r="K94" i="61" s="1"/>
  <c r="I85" i="61"/>
  <c r="J85" i="61" s="1"/>
  <c r="I72" i="61"/>
  <c r="K72" i="61" s="1"/>
  <c r="I78" i="61"/>
  <c r="I80" i="61"/>
  <c r="J80" i="61" s="1"/>
  <c r="I51" i="61"/>
  <c r="I45" i="61"/>
  <c r="J45" i="61" s="1"/>
  <c r="I81" i="61"/>
  <c r="J81" i="61" s="1"/>
  <c r="I76" i="61"/>
  <c r="K76" i="61" s="1"/>
  <c r="I90" i="61"/>
  <c r="K90" i="61" s="1"/>
  <c r="I88" i="61"/>
  <c r="I75" i="61"/>
  <c r="I35" i="61"/>
  <c r="J35" i="61" s="1"/>
  <c r="I36" i="61"/>
  <c r="I39" i="61"/>
  <c r="I54" i="61"/>
  <c r="K54" i="61" s="1"/>
  <c r="I42" i="61"/>
  <c r="J42" i="61" s="1"/>
  <c r="I46" i="61"/>
  <c r="I123" i="61"/>
  <c r="I122" i="61"/>
  <c r="K122" i="61" s="1"/>
  <c r="I120" i="61"/>
  <c r="I119" i="61"/>
  <c r="I118" i="61"/>
  <c r="I117" i="61"/>
  <c r="I116" i="61"/>
  <c r="I113" i="61"/>
  <c r="K113" i="61" s="1"/>
  <c r="I112" i="61"/>
  <c r="I111" i="61"/>
  <c r="J111" i="61" s="1"/>
  <c r="I110" i="61"/>
  <c r="I109" i="61"/>
  <c r="J109" i="61" s="1"/>
  <c r="I95" i="61"/>
  <c r="I82" i="61"/>
  <c r="J82" i="61" s="1"/>
  <c r="I79" i="61"/>
  <c r="I15" i="61"/>
  <c r="J15" i="61" s="1"/>
  <c r="I6" i="61"/>
  <c r="I5" i="61"/>
  <c r="I186" i="61"/>
  <c r="I184" i="61"/>
  <c r="J226" i="61"/>
  <c r="H226" i="61"/>
  <c r="G226" i="61"/>
  <c r="F226" i="61"/>
  <c r="K226" i="61" s="1"/>
  <c r="J225" i="61"/>
  <c r="H225" i="61"/>
  <c r="G225" i="61"/>
  <c r="F225" i="61"/>
  <c r="K225" i="61" s="1"/>
  <c r="J224" i="61"/>
  <c r="K224" i="61" s="1"/>
  <c r="H224" i="61"/>
  <c r="G224" i="61"/>
  <c r="F224" i="61"/>
  <c r="J223" i="61"/>
  <c r="H223" i="61"/>
  <c r="G223" i="61"/>
  <c r="F223" i="61"/>
  <c r="K223" i="61" s="1"/>
  <c r="J210" i="61"/>
  <c r="J208" i="61"/>
  <c r="J207" i="61"/>
  <c r="G197" i="61"/>
  <c r="K197" i="61" s="1"/>
  <c r="F197" i="61"/>
  <c r="G196" i="61"/>
  <c r="K196" i="61" s="1"/>
  <c r="F196" i="61"/>
  <c r="G195" i="61"/>
  <c r="K195" i="61" s="1"/>
  <c r="F195" i="61"/>
  <c r="G194" i="61"/>
  <c r="K194" i="61" s="1"/>
  <c r="F194" i="61"/>
  <c r="G193" i="61"/>
  <c r="K193" i="61" s="1"/>
  <c r="F193" i="61"/>
  <c r="K192" i="61"/>
  <c r="J192" i="61"/>
  <c r="K191" i="61"/>
  <c r="J191" i="61"/>
  <c r="K190" i="61"/>
  <c r="J190" i="61"/>
  <c r="G189" i="61"/>
  <c r="K189" i="61" s="1"/>
  <c r="G188" i="61"/>
  <c r="K188" i="61" s="1"/>
  <c r="G187" i="61"/>
  <c r="J187" i="61" s="1"/>
  <c r="G186" i="61"/>
  <c r="K186" i="61" s="1"/>
  <c r="G185" i="61"/>
  <c r="K185" i="61" s="1"/>
  <c r="G184" i="61"/>
  <c r="K184" i="61" s="1"/>
  <c r="G183" i="61"/>
  <c r="J183" i="61" s="1"/>
  <c r="K182" i="61"/>
  <c r="J182" i="61"/>
  <c r="G181" i="61"/>
  <c r="J181" i="61" s="1"/>
  <c r="H179" i="61"/>
  <c r="G179" i="61"/>
  <c r="K179" i="61" s="1"/>
  <c r="H178" i="61"/>
  <c r="G178" i="61"/>
  <c r="J178" i="61" s="1"/>
  <c r="H177" i="61"/>
  <c r="G177" i="61"/>
  <c r="K177" i="61" s="1"/>
  <c r="H176" i="61"/>
  <c r="G176" i="61"/>
  <c r="K176" i="61" s="1"/>
  <c r="G175" i="61"/>
  <c r="K175" i="61" s="1"/>
  <c r="F175" i="61"/>
  <c r="G174" i="61"/>
  <c r="K174" i="61" s="1"/>
  <c r="F174" i="61"/>
  <c r="G173" i="61"/>
  <c r="K173" i="61" s="1"/>
  <c r="K172" i="61"/>
  <c r="J172" i="61"/>
  <c r="K171" i="61"/>
  <c r="J171" i="61"/>
  <c r="K170" i="61"/>
  <c r="J170" i="61"/>
  <c r="G169" i="61"/>
  <c r="J169" i="61" s="1"/>
  <c r="G168" i="61"/>
  <c r="K168" i="61" s="1"/>
  <c r="G167" i="61"/>
  <c r="J167" i="61" s="1"/>
  <c r="G166" i="61"/>
  <c r="J166" i="61" s="1"/>
  <c r="G165" i="61"/>
  <c r="K165" i="61" s="1"/>
  <c r="G164" i="61"/>
  <c r="K164" i="61" s="1"/>
  <c r="G163" i="61"/>
  <c r="J163" i="61" s="1"/>
  <c r="G162" i="61"/>
  <c r="K162" i="61" s="1"/>
  <c r="K161" i="61"/>
  <c r="J161" i="61"/>
  <c r="K149" i="61"/>
  <c r="H149" i="61"/>
  <c r="G149" i="61"/>
  <c r="J149" i="61" s="1"/>
  <c r="F149" i="61"/>
  <c r="K148" i="61"/>
  <c r="G148" i="61"/>
  <c r="J148" i="61" s="1"/>
  <c r="K147" i="61"/>
  <c r="J147" i="61"/>
  <c r="K146" i="61"/>
  <c r="G146" i="61"/>
  <c r="J146" i="61" s="1"/>
  <c r="K134" i="61"/>
  <c r="J134" i="61"/>
  <c r="G134" i="61"/>
  <c r="K133" i="61"/>
  <c r="J133" i="61"/>
  <c r="G133" i="61"/>
  <c r="K132" i="61"/>
  <c r="G132" i="61"/>
  <c r="K131" i="61"/>
  <c r="J131" i="61"/>
  <c r="G131" i="61"/>
  <c r="K130" i="61"/>
  <c r="J130" i="61"/>
  <c r="G130" i="61"/>
  <c r="K129" i="61"/>
  <c r="J129" i="61"/>
  <c r="G129" i="61"/>
  <c r="K128" i="61"/>
  <c r="J128" i="61"/>
  <c r="G128" i="61"/>
  <c r="K127" i="61"/>
  <c r="J127" i="61"/>
  <c r="G127" i="61"/>
  <c r="K126" i="61"/>
  <c r="J126" i="61"/>
  <c r="G126" i="61"/>
  <c r="K124" i="61"/>
  <c r="J124" i="61"/>
  <c r="G124" i="61"/>
  <c r="K123" i="61"/>
  <c r="J123" i="61"/>
  <c r="G123" i="61"/>
  <c r="G122" i="61"/>
  <c r="K121" i="61"/>
  <c r="J121" i="61"/>
  <c r="G121" i="61"/>
  <c r="K120" i="61"/>
  <c r="J120" i="61"/>
  <c r="G120" i="61"/>
  <c r="K119" i="61"/>
  <c r="J119" i="61"/>
  <c r="G119" i="61"/>
  <c r="K118" i="61"/>
  <c r="J118" i="61"/>
  <c r="G118" i="61"/>
  <c r="K117" i="61"/>
  <c r="J117" i="61"/>
  <c r="G117" i="61"/>
  <c r="K116" i="61"/>
  <c r="J116" i="61"/>
  <c r="G116" i="61"/>
  <c r="K115" i="61"/>
  <c r="J115" i="61"/>
  <c r="G115" i="61"/>
  <c r="K114" i="61"/>
  <c r="J114" i="61"/>
  <c r="G114" i="61"/>
  <c r="K112" i="61"/>
  <c r="J112" i="61"/>
  <c r="G112" i="61"/>
  <c r="G111" i="61"/>
  <c r="K110" i="61"/>
  <c r="J110" i="61"/>
  <c r="G110" i="61"/>
  <c r="G109" i="61"/>
  <c r="K105" i="61"/>
  <c r="J105" i="61"/>
  <c r="G105" i="61"/>
  <c r="K96" i="61"/>
  <c r="J96" i="61"/>
  <c r="K95" i="61"/>
  <c r="J95" i="61"/>
  <c r="K93" i="61"/>
  <c r="J93" i="61"/>
  <c r="K92" i="61"/>
  <c r="J92" i="61"/>
  <c r="K91" i="61"/>
  <c r="J91" i="61"/>
  <c r="K89" i="61"/>
  <c r="J89" i="61"/>
  <c r="K88" i="61"/>
  <c r="J88" i="61"/>
  <c r="K87" i="61"/>
  <c r="J87" i="61"/>
  <c r="K86" i="61"/>
  <c r="J86" i="61"/>
  <c r="K85" i="61"/>
  <c r="K84" i="61"/>
  <c r="J84" i="61"/>
  <c r="K83" i="61"/>
  <c r="J83" i="61"/>
  <c r="K79" i="61"/>
  <c r="J79" i="61"/>
  <c r="K78" i="61"/>
  <c r="J78" i="61"/>
  <c r="K77" i="61"/>
  <c r="J77" i="61"/>
  <c r="K75" i="61"/>
  <c r="J75" i="61"/>
  <c r="K74" i="61"/>
  <c r="J74" i="61"/>
  <c r="K73" i="61"/>
  <c r="J73" i="61"/>
  <c r="J72" i="61"/>
  <c r="K71" i="61"/>
  <c r="J71" i="61"/>
  <c r="K70" i="61"/>
  <c r="J70" i="61"/>
  <c r="K69" i="61"/>
  <c r="J69" i="61"/>
  <c r="K68" i="61"/>
  <c r="J68" i="61"/>
  <c r="K67" i="61"/>
  <c r="J67" i="61"/>
  <c r="K55" i="61"/>
  <c r="J55" i="61"/>
  <c r="J54" i="61"/>
  <c r="K53" i="61"/>
  <c r="J53" i="61"/>
  <c r="K52" i="61"/>
  <c r="J52" i="61"/>
  <c r="K51" i="61"/>
  <c r="J51" i="61"/>
  <c r="K50" i="61"/>
  <c r="J50" i="61"/>
  <c r="K49" i="61"/>
  <c r="J49" i="61"/>
  <c r="K48" i="61"/>
  <c r="J48" i="61"/>
  <c r="K47" i="61"/>
  <c r="J47" i="61"/>
  <c r="K46" i="61"/>
  <c r="J46" i="61"/>
  <c r="K43" i="61"/>
  <c r="J43" i="61"/>
  <c r="K41" i="61"/>
  <c r="J41" i="61"/>
  <c r="K40" i="61"/>
  <c r="J40" i="61"/>
  <c r="K39" i="61"/>
  <c r="J39" i="61"/>
  <c r="K37" i="61"/>
  <c r="J37" i="61"/>
  <c r="K36" i="61"/>
  <c r="J36" i="61"/>
  <c r="K34" i="61"/>
  <c r="J34" i="61"/>
  <c r="K33" i="61"/>
  <c r="J33" i="61"/>
  <c r="K32" i="61"/>
  <c r="J32" i="61"/>
  <c r="K30" i="61"/>
  <c r="J30" i="61"/>
  <c r="K29" i="61"/>
  <c r="J29" i="61"/>
  <c r="K28" i="61"/>
  <c r="J28" i="61"/>
  <c r="K27" i="61"/>
  <c r="J27" i="61"/>
  <c r="K26" i="61"/>
  <c r="J26" i="61"/>
  <c r="K24" i="61"/>
  <c r="J24" i="61"/>
  <c r="K23" i="61"/>
  <c r="J23" i="61"/>
  <c r="K21" i="61"/>
  <c r="J21" i="61"/>
  <c r="K20" i="61"/>
  <c r="J20" i="61"/>
  <c r="K19" i="61"/>
  <c r="J19" i="61"/>
  <c r="K18" i="61"/>
  <c r="J18" i="61"/>
  <c r="K17" i="61"/>
  <c r="J17" i="61"/>
  <c r="K16" i="61"/>
  <c r="J16" i="61"/>
  <c r="K13" i="61"/>
  <c r="J13" i="61"/>
  <c r="K12" i="61"/>
  <c r="J12" i="61"/>
  <c r="K11" i="61"/>
  <c r="J11" i="61"/>
  <c r="K10" i="61"/>
  <c r="J10" i="61"/>
  <c r="K8" i="61"/>
  <c r="J8" i="61"/>
  <c r="K7" i="61"/>
  <c r="J7" i="61"/>
  <c r="K6" i="61"/>
  <c r="J6" i="61"/>
  <c r="K5" i="61"/>
  <c r="J5" i="61"/>
  <c r="J226" i="60"/>
  <c r="H226" i="60"/>
  <c r="G226" i="60"/>
  <c r="F226" i="60"/>
  <c r="K226" i="60" s="1"/>
  <c r="J225" i="60"/>
  <c r="H225" i="60"/>
  <c r="G225" i="60"/>
  <c r="F225" i="60"/>
  <c r="K225" i="60" s="1"/>
  <c r="J224" i="60"/>
  <c r="K224" i="60" s="1"/>
  <c r="H224" i="60"/>
  <c r="G224" i="60"/>
  <c r="F224" i="60"/>
  <c r="J223" i="60"/>
  <c r="H223" i="60"/>
  <c r="G223" i="60"/>
  <c r="F223" i="60"/>
  <c r="K223" i="60" s="1"/>
  <c r="J210" i="60"/>
  <c r="J208" i="60"/>
  <c r="J207" i="60"/>
  <c r="G197" i="60"/>
  <c r="K197" i="60" s="1"/>
  <c r="F197" i="60"/>
  <c r="G196" i="60"/>
  <c r="K196" i="60" s="1"/>
  <c r="F196" i="60"/>
  <c r="G195" i="60"/>
  <c r="J195" i="60" s="1"/>
  <c r="F195" i="60"/>
  <c r="G194" i="60"/>
  <c r="K194" i="60" s="1"/>
  <c r="F194" i="60"/>
  <c r="G193" i="60"/>
  <c r="K193" i="60" s="1"/>
  <c r="F193" i="60"/>
  <c r="K192" i="60"/>
  <c r="J192" i="60"/>
  <c r="K191" i="60"/>
  <c r="J191" i="60"/>
  <c r="K190" i="60"/>
  <c r="J190" i="60"/>
  <c r="G189" i="60"/>
  <c r="K189" i="60" s="1"/>
  <c r="G188" i="60"/>
  <c r="G187" i="60"/>
  <c r="G186" i="60"/>
  <c r="K186" i="60" s="1"/>
  <c r="G185" i="60"/>
  <c r="K185" i="60" s="1"/>
  <c r="G184" i="60"/>
  <c r="K184" i="60" s="1"/>
  <c r="G183" i="60"/>
  <c r="K183" i="60" s="1"/>
  <c r="K182" i="60"/>
  <c r="J182" i="60"/>
  <c r="G181" i="60"/>
  <c r="K181" i="60" s="1"/>
  <c r="H179" i="60"/>
  <c r="G179" i="60"/>
  <c r="K179" i="60" s="1"/>
  <c r="H178" i="60"/>
  <c r="G178" i="60"/>
  <c r="K178" i="60" s="1"/>
  <c r="H177" i="60"/>
  <c r="G177" i="60"/>
  <c r="K177" i="60" s="1"/>
  <c r="H176" i="60"/>
  <c r="G176" i="60"/>
  <c r="K176" i="60" s="1"/>
  <c r="G175" i="60"/>
  <c r="K175" i="60" s="1"/>
  <c r="F175" i="60"/>
  <c r="G174" i="60"/>
  <c r="K174" i="60" s="1"/>
  <c r="F174" i="60"/>
  <c r="G173" i="60"/>
  <c r="K173" i="60" s="1"/>
  <c r="K172" i="60"/>
  <c r="J172" i="60"/>
  <c r="K171" i="60"/>
  <c r="J171" i="60"/>
  <c r="K170" i="60"/>
  <c r="J170" i="60"/>
  <c r="G169" i="60"/>
  <c r="K169" i="60" s="1"/>
  <c r="G168" i="60"/>
  <c r="K168" i="60" s="1"/>
  <c r="G167" i="60"/>
  <c r="K167" i="60" s="1"/>
  <c r="G166" i="60"/>
  <c r="K166" i="60" s="1"/>
  <c r="G165" i="60"/>
  <c r="K165" i="60" s="1"/>
  <c r="G164" i="60"/>
  <c r="J164" i="60" s="1"/>
  <c r="G163" i="60"/>
  <c r="K163" i="60" s="1"/>
  <c r="G162" i="60"/>
  <c r="J162" i="60" s="1"/>
  <c r="K149" i="60"/>
  <c r="H149" i="60"/>
  <c r="G149" i="60"/>
  <c r="J149" i="60" s="1"/>
  <c r="F149" i="60"/>
  <c r="K148" i="60"/>
  <c r="G148" i="60"/>
  <c r="J148" i="60" s="1"/>
  <c r="K147" i="60"/>
  <c r="J147" i="60"/>
  <c r="K146" i="60"/>
  <c r="G146" i="60"/>
  <c r="J146" i="60" s="1"/>
  <c r="K134" i="60"/>
  <c r="J134" i="60"/>
  <c r="G134" i="60"/>
  <c r="K133" i="60"/>
  <c r="J133" i="60"/>
  <c r="G133" i="60"/>
  <c r="K132" i="60"/>
  <c r="G132" i="60"/>
  <c r="K131" i="60"/>
  <c r="J131" i="60"/>
  <c r="G131" i="60"/>
  <c r="K130" i="60"/>
  <c r="J130" i="60"/>
  <c r="G130" i="60"/>
  <c r="K129" i="60"/>
  <c r="J129" i="60"/>
  <c r="G129" i="60"/>
  <c r="K128" i="60"/>
  <c r="J128" i="60"/>
  <c r="G128" i="60"/>
  <c r="K127" i="60"/>
  <c r="J127" i="60"/>
  <c r="G127" i="60"/>
  <c r="K126" i="60"/>
  <c r="J126" i="60"/>
  <c r="G126" i="60"/>
  <c r="K124" i="60"/>
  <c r="J124" i="60"/>
  <c r="G124" i="60"/>
  <c r="K123" i="60"/>
  <c r="J123" i="60"/>
  <c r="G123" i="60"/>
  <c r="K122" i="60"/>
  <c r="J122" i="60"/>
  <c r="G122" i="60"/>
  <c r="K121" i="60"/>
  <c r="G121" i="60"/>
  <c r="K120" i="60"/>
  <c r="G120" i="60"/>
  <c r="K119" i="60"/>
  <c r="J119" i="60"/>
  <c r="G119" i="60"/>
  <c r="K118" i="60"/>
  <c r="J118" i="60"/>
  <c r="G118" i="60"/>
  <c r="K117" i="60"/>
  <c r="J117" i="60"/>
  <c r="G117" i="60"/>
  <c r="K116" i="60"/>
  <c r="J116" i="60"/>
  <c r="G116" i="60"/>
  <c r="K115" i="60"/>
  <c r="J115" i="60"/>
  <c r="G115" i="60"/>
  <c r="K114" i="60"/>
  <c r="J114" i="60"/>
  <c r="G114" i="60"/>
  <c r="K113" i="60"/>
  <c r="J113" i="60"/>
  <c r="K112" i="60"/>
  <c r="J112" i="60"/>
  <c r="G112" i="60"/>
  <c r="K111" i="60"/>
  <c r="J111" i="60"/>
  <c r="G111" i="60"/>
  <c r="K110" i="60"/>
  <c r="G110" i="60"/>
  <c r="K109" i="60"/>
  <c r="G109" i="60"/>
  <c r="K105" i="60"/>
  <c r="J105" i="60"/>
  <c r="G105" i="60"/>
  <c r="K96" i="60"/>
  <c r="K95" i="60"/>
  <c r="K94" i="60"/>
  <c r="J94" i="60"/>
  <c r="K93" i="60"/>
  <c r="K92" i="60"/>
  <c r="K91" i="60"/>
  <c r="K90" i="60"/>
  <c r="K89" i="60"/>
  <c r="J88" i="60"/>
  <c r="K88" i="60"/>
  <c r="K87" i="60"/>
  <c r="K86" i="60"/>
  <c r="K85" i="60"/>
  <c r="K84" i="60"/>
  <c r="J84" i="60"/>
  <c r="K83" i="60"/>
  <c r="J83" i="60"/>
  <c r="K82" i="60"/>
  <c r="J82" i="60"/>
  <c r="K81" i="60"/>
  <c r="J81" i="60"/>
  <c r="K80" i="60"/>
  <c r="K79" i="60"/>
  <c r="K78" i="60"/>
  <c r="J78" i="60"/>
  <c r="K77" i="60"/>
  <c r="J77" i="60"/>
  <c r="K76" i="60"/>
  <c r="K75" i="60"/>
  <c r="K74" i="60"/>
  <c r="J74" i="60"/>
  <c r="K73" i="60"/>
  <c r="J73" i="60"/>
  <c r="K72" i="60"/>
  <c r="J72" i="60"/>
  <c r="K70" i="60"/>
  <c r="K69" i="60"/>
  <c r="K68" i="60"/>
  <c r="J68" i="60"/>
  <c r="K55" i="60"/>
  <c r="J55" i="60"/>
  <c r="K54" i="60"/>
  <c r="J54" i="60"/>
  <c r="K53" i="60"/>
  <c r="J53" i="60"/>
  <c r="K52" i="60"/>
  <c r="J52" i="60"/>
  <c r="K51" i="60"/>
  <c r="K50" i="60"/>
  <c r="K49" i="60"/>
  <c r="J49" i="60"/>
  <c r="K48" i="60"/>
  <c r="K47" i="60"/>
  <c r="J47" i="60"/>
  <c r="K46" i="60"/>
  <c r="J46" i="60"/>
  <c r="K45" i="60"/>
  <c r="J45" i="60"/>
  <c r="K43" i="60"/>
  <c r="J43" i="60"/>
  <c r="K42" i="60"/>
  <c r="K41" i="60"/>
  <c r="J41" i="60"/>
  <c r="K40" i="60"/>
  <c r="J40" i="60"/>
  <c r="K39" i="60"/>
  <c r="J39" i="60"/>
  <c r="K37" i="60"/>
  <c r="J37" i="60"/>
  <c r="K36" i="60"/>
  <c r="K35" i="60"/>
  <c r="K34" i="60"/>
  <c r="K33" i="60"/>
  <c r="J33" i="60"/>
  <c r="K32" i="60"/>
  <c r="J32" i="60"/>
  <c r="K30" i="60"/>
  <c r="K29" i="60"/>
  <c r="K28" i="60"/>
  <c r="J28" i="60"/>
  <c r="K27" i="60"/>
  <c r="K26" i="60"/>
  <c r="K24" i="60"/>
  <c r="J24" i="60"/>
  <c r="K23" i="60"/>
  <c r="K21" i="60"/>
  <c r="J20" i="60"/>
  <c r="K20" i="60"/>
  <c r="K19" i="60"/>
  <c r="K18" i="60"/>
  <c r="K17" i="60"/>
  <c r="K16" i="60"/>
  <c r="K15" i="60"/>
  <c r="J15" i="60"/>
  <c r="K13" i="60"/>
  <c r="K12" i="60"/>
  <c r="J12" i="60"/>
  <c r="K10" i="60"/>
  <c r="K8" i="60"/>
  <c r="J8" i="60"/>
  <c r="K7" i="60"/>
  <c r="J7" i="60"/>
  <c r="K6" i="60"/>
  <c r="J6" i="60"/>
  <c r="J59" i="58"/>
  <c r="K10" i="58"/>
  <c r="I88" i="58"/>
  <c r="I81" i="58"/>
  <c r="I90" i="58"/>
  <c r="I50" i="58"/>
  <c r="K50" i="58" s="1"/>
  <c r="I51" i="58"/>
  <c r="K51" i="58" s="1"/>
  <c r="I76" i="58"/>
  <c r="K76" i="58" s="1"/>
  <c r="I80" i="58"/>
  <c r="I78" i="58"/>
  <c r="I70" i="58"/>
  <c r="J70" i="58" s="1"/>
  <c r="I85" i="58"/>
  <c r="J85" i="58" s="1"/>
  <c r="I23" i="58"/>
  <c r="K23" i="58" s="1"/>
  <c r="I75" i="58"/>
  <c r="K75" i="58" s="1"/>
  <c r="I96" i="58"/>
  <c r="K96" i="58" s="1"/>
  <c r="I27" i="58"/>
  <c r="J27" i="58" s="1"/>
  <c r="I20" i="58"/>
  <c r="K20" i="58" s="1"/>
  <c r="I35" i="58"/>
  <c r="J35" i="58" s="1"/>
  <c r="I39" i="58"/>
  <c r="K39" i="58" s="1"/>
  <c r="I42" i="58"/>
  <c r="K42" i="58"/>
  <c r="I48" i="58"/>
  <c r="K48" i="58" s="1"/>
  <c r="I184" i="58"/>
  <c r="I164" i="58"/>
  <c r="I186" i="58"/>
  <c r="I162" i="58"/>
  <c r="I161" i="58"/>
  <c r="I121" i="58"/>
  <c r="J121" i="58" s="1"/>
  <c r="I120" i="58"/>
  <c r="J120" i="58" s="1"/>
  <c r="I110" i="58"/>
  <c r="I109" i="58"/>
  <c r="J109" i="58" s="1"/>
  <c r="I95" i="58"/>
  <c r="J95" i="58" s="1"/>
  <c r="I94" i="58"/>
  <c r="K94" i="58" s="1"/>
  <c r="I93" i="58"/>
  <c r="K93" i="58" s="1"/>
  <c r="I92" i="58"/>
  <c r="K92" i="58" s="1"/>
  <c r="I91" i="58"/>
  <c r="J91" i="58" s="1"/>
  <c r="I89" i="58"/>
  <c r="K89" i="58" s="1"/>
  <c r="I87" i="58"/>
  <c r="K87" i="58" s="1"/>
  <c r="I86" i="58"/>
  <c r="K86" i="58" s="1"/>
  <c r="I83" i="58"/>
  <c r="K83" i="58" s="1"/>
  <c r="I79" i="58"/>
  <c r="K79" i="58" s="1"/>
  <c r="K80" i="58"/>
  <c r="I77" i="58"/>
  <c r="J77" i="58" s="1"/>
  <c r="I72" i="58"/>
  <c r="K72" i="58" s="1"/>
  <c r="I71" i="58"/>
  <c r="K71" i="58" s="1"/>
  <c r="I69" i="58"/>
  <c r="K69" i="58" s="1"/>
  <c r="I68" i="58"/>
  <c r="J68" i="58" s="1"/>
  <c r="I67" i="58"/>
  <c r="K67" i="58" s="1"/>
  <c r="I37" i="58"/>
  <c r="J37" i="58" s="1"/>
  <c r="I36" i="58"/>
  <c r="J36" i="58" s="1"/>
  <c r="I34" i="58"/>
  <c r="K34" i="58" s="1"/>
  <c r="I33" i="58"/>
  <c r="K33" i="58" s="1"/>
  <c r="I30" i="58"/>
  <c r="K30" i="58" s="1"/>
  <c r="I29" i="58"/>
  <c r="K29" i="58" s="1"/>
  <c r="I28" i="58"/>
  <c r="K28" i="58" s="1"/>
  <c r="I26" i="58"/>
  <c r="K26" i="58" s="1"/>
  <c r="I21" i="58"/>
  <c r="K21" i="58" s="1"/>
  <c r="I19" i="58"/>
  <c r="K19" i="58" s="1"/>
  <c r="I18" i="58"/>
  <c r="K18" i="58" s="1"/>
  <c r="I17" i="58"/>
  <c r="J17" i="58" s="1"/>
  <c r="I16" i="58"/>
  <c r="K16" i="58" s="1"/>
  <c r="I13" i="58"/>
  <c r="J13" i="58" s="1"/>
  <c r="I12" i="58"/>
  <c r="K12" i="58" s="1"/>
  <c r="I11" i="58"/>
  <c r="K11" i="58" s="1"/>
  <c r="I10" i="58"/>
  <c r="I5" i="58"/>
  <c r="K5" i="58" s="1"/>
  <c r="A35" i="58"/>
  <c r="J226" i="58"/>
  <c r="H226" i="58"/>
  <c r="G226" i="58"/>
  <c r="F226" i="58"/>
  <c r="K226" i="58" s="1"/>
  <c r="J225" i="58"/>
  <c r="H225" i="58"/>
  <c r="G225" i="58"/>
  <c r="F225" i="58"/>
  <c r="J224" i="58"/>
  <c r="H224" i="58"/>
  <c r="G224" i="58"/>
  <c r="F224" i="58"/>
  <c r="J223" i="58"/>
  <c r="H223" i="58"/>
  <c r="G223" i="58"/>
  <c r="F223" i="58"/>
  <c r="J210" i="58"/>
  <c r="J208" i="58"/>
  <c r="J207" i="58"/>
  <c r="G197" i="58"/>
  <c r="K197" i="58" s="1"/>
  <c r="F197" i="58"/>
  <c r="G196" i="58"/>
  <c r="K196" i="58" s="1"/>
  <c r="F196" i="58"/>
  <c r="G195" i="58"/>
  <c r="F195" i="58"/>
  <c r="G194" i="58"/>
  <c r="K194" i="58" s="1"/>
  <c r="F194" i="58"/>
  <c r="G193" i="58"/>
  <c r="K193" i="58" s="1"/>
  <c r="F193" i="58"/>
  <c r="K192" i="58"/>
  <c r="J192" i="58"/>
  <c r="K191" i="58"/>
  <c r="J191" i="58"/>
  <c r="K190" i="58"/>
  <c r="J190" i="58"/>
  <c r="G189" i="58"/>
  <c r="K189" i="58" s="1"/>
  <c r="G188" i="58"/>
  <c r="K188" i="58" s="1"/>
  <c r="G187" i="58"/>
  <c r="G186" i="58"/>
  <c r="K186" i="58" s="1"/>
  <c r="G185" i="58"/>
  <c r="K185" i="58" s="1"/>
  <c r="G184" i="58"/>
  <c r="G183" i="58"/>
  <c r="K182" i="58"/>
  <c r="G181" i="58"/>
  <c r="K181" i="58" s="1"/>
  <c r="H179" i="58"/>
  <c r="G179" i="58"/>
  <c r="K179" i="58" s="1"/>
  <c r="H178" i="58"/>
  <c r="G178" i="58"/>
  <c r="K178" i="58" s="1"/>
  <c r="H177" i="58"/>
  <c r="G177" i="58"/>
  <c r="J177" i="58" s="1"/>
  <c r="H176" i="58"/>
  <c r="G176" i="58"/>
  <c r="K176" i="58" s="1"/>
  <c r="G175" i="58"/>
  <c r="K175" i="58" s="1"/>
  <c r="F175" i="58"/>
  <c r="G174" i="58"/>
  <c r="J174" i="58" s="1"/>
  <c r="F174" i="58"/>
  <c r="G173" i="58"/>
  <c r="K173" i="58" s="1"/>
  <c r="K172" i="58"/>
  <c r="J172" i="58"/>
  <c r="K171" i="58"/>
  <c r="J171" i="58"/>
  <c r="K170" i="58"/>
  <c r="J170" i="58"/>
  <c r="G169" i="58"/>
  <c r="K169" i="58" s="1"/>
  <c r="G168" i="58"/>
  <c r="K168" i="58" s="1"/>
  <c r="G167" i="58"/>
  <c r="G166" i="58"/>
  <c r="K166" i="58" s="1"/>
  <c r="G165" i="58"/>
  <c r="K165" i="58" s="1"/>
  <c r="G164" i="58"/>
  <c r="G163" i="58"/>
  <c r="G162" i="58"/>
  <c r="K149" i="58"/>
  <c r="H149" i="58"/>
  <c r="G149" i="58"/>
  <c r="J149" i="58" s="1"/>
  <c r="F149" i="58"/>
  <c r="K148" i="58"/>
  <c r="G148" i="58"/>
  <c r="J148" i="58" s="1"/>
  <c r="K147" i="58"/>
  <c r="J147" i="58"/>
  <c r="K146" i="58"/>
  <c r="G146" i="58"/>
  <c r="J146" i="58" s="1"/>
  <c r="K134" i="58"/>
  <c r="J134" i="58"/>
  <c r="G134" i="58"/>
  <c r="K133" i="58"/>
  <c r="J133" i="58"/>
  <c r="G133" i="58"/>
  <c r="K132" i="58"/>
  <c r="G132" i="58"/>
  <c r="K131" i="58"/>
  <c r="J131" i="58"/>
  <c r="G131" i="58"/>
  <c r="K130" i="58"/>
  <c r="J130" i="58"/>
  <c r="G130" i="58"/>
  <c r="K129" i="58"/>
  <c r="J129" i="58"/>
  <c r="G129" i="58"/>
  <c r="K128" i="58"/>
  <c r="J128" i="58"/>
  <c r="G128" i="58"/>
  <c r="K127" i="58"/>
  <c r="J127" i="58"/>
  <c r="G127" i="58"/>
  <c r="K126" i="58"/>
  <c r="J126" i="58"/>
  <c r="G126" i="58"/>
  <c r="K124" i="58"/>
  <c r="J124" i="58"/>
  <c r="G124" i="58"/>
  <c r="K123" i="58"/>
  <c r="J123" i="58"/>
  <c r="G123" i="58"/>
  <c r="K122" i="58"/>
  <c r="J122" i="58"/>
  <c r="G122" i="58"/>
  <c r="G121" i="58"/>
  <c r="G120" i="58"/>
  <c r="K119" i="58"/>
  <c r="J119" i="58"/>
  <c r="G119" i="58"/>
  <c r="K118" i="58"/>
  <c r="J118" i="58"/>
  <c r="G118" i="58"/>
  <c r="K117" i="58"/>
  <c r="J117" i="58"/>
  <c r="G117" i="58"/>
  <c r="K116" i="58"/>
  <c r="J116" i="58"/>
  <c r="G116" i="58"/>
  <c r="K115" i="58"/>
  <c r="J115" i="58"/>
  <c r="G115" i="58"/>
  <c r="K114" i="58"/>
  <c r="J114" i="58"/>
  <c r="G114" i="58"/>
  <c r="K113" i="58"/>
  <c r="J113" i="58"/>
  <c r="K112" i="58"/>
  <c r="J112" i="58"/>
  <c r="G112" i="58"/>
  <c r="K111" i="58"/>
  <c r="J111" i="58"/>
  <c r="G111" i="58"/>
  <c r="K110" i="58"/>
  <c r="J110" i="58"/>
  <c r="G110" i="58"/>
  <c r="G109" i="58"/>
  <c r="K105" i="58"/>
  <c r="J105" i="58"/>
  <c r="G105" i="58"/>
  <c r="K90" i="58"/>
  <c r="J90" i="58"/>
  <c r="K88" i="58"/>
  <c r="K84" i="58"/>
  <c r="J84" i="58"/>
  <c r="K81" i="58"/>
  <c r="J81" i="58"/>
  <c r="K74" i="58"/>
  <c r="J74" i="58"/>
  <c r="K73" i="58"/>
  <c r="J73" i="58"/>
  <c r="K55" i="58"/>
  <c r="J55" i="58"/>
  <c r="K54" i="58"/>
  <c r="J54" i="58"/>
  <c r="K53" i="58"/>
  <c r="J53" i="58"/>
  <c r="K52" i="58"/>
  <c r="J52" i="58"/>
  <c r="K49" i="58"/>
  <c r="J49" i="58"/>
  <c r="K47" i="58"/>
  <c r="J47" i="58"/>
  <c r="K46" i="58"/>
  <c r="J46" i="58"/>
  <c r="K45" i="58"/>
  <c r="J45" i="58"/>
  <c r="K43" i="58"/>
  <c r="J43" i="58"/>
  <c r="K41" i="58"/>
  <c r="J41" i="58"/>
  <c r="K40" i="58"/>
  <c r="J40" i="58"/>
  <c r="K32" i="58"/>
  <c r="J32" i="58"/>
  <c r="J29" i="58"/>
  <c r="J28" i="58"/>
  <c r="K24" i="58"/>
  <c r="J24" i="58"/>
  <c r="K15" i="58"/>
  <c r="J15" i="58"/>
  <c r="J10" i="58"/>
  <c r="K8" i="58"/>
  <c r="J8" i="58"/>
  <c r="K7" i="58"/>
  <c r="J7" i="58"/>
  <c r="K6" i="58"/>
  <c r="J6" i="58"/>
  <c r="J40" i="57"/>
  <c r="K40" i="57"/>
  <c r="J41" i="57"/>
  <c r="K41" i="57"/>
  <c r="J68" i="57"/>
  <c r="K68" i="57"/>
  <c r="J90" i="57"/>
  <c r="K90" i="57"/>
  <c r="J91" i="57"/>
  <c r="K91" i="57"/>
  <c r="J92" i="57"/>
  <c r="K92" i="57"/>
  <c r="J93" i="57"/>
  <c r="K93" i="57"/>
  <c r="J95" i="57"/>
  <c r="K95" i="57"/>
  <c r="J33" i="57"/>
  <c r="K33" i="57"/>
  <c r="I94" i="57"/>
  <c r="J94" i="57" s="1"/>
  <c r="K89" i="57"/>
  <c r="I96" i="57"/>
  <c r="J96" i="57" s="1"/>
  <c r="I88" i="57"/>
  <c r="K88" i="57" s="1"/>
  <c r="I85" i="57"/>
  <c r="J85" i="57" s="1"/>
  <c r="I82" i="57"/>
  <c r="J82" i="57" s="1"/>
  <c r="I81" i="57"/>
  <c r="K81" i="57" s="1"/>
  <c r="I80" i="57"/>
  <c r="K80" i="57" s="1"/>
  <c r="I79" i="57"/>
  <c r="K79" i="57" s="1"/>
  <c r="I78" i="57"/>
  <c r="K78" i="57" s="1"/>
  <c r="I77" i="57"/>
  <c r="K77" i="57" s="1"/>
  <c r="I76" i="57"/>
  <c r="K76" i="57" s="1"/>
  <c r="I75" i="57"/>
  <c r="K75" i="57" s="1"/>
  <c r="I72" i="57"/>
  <c r="K72" i="57" s="1"/>
  <c r="I67" i="57"/>
  <c r="K67" i="57" s="1"/>
  <c r="I51" i="57"/>
  <c r="K51" i="57" s="1"/>
  <c r="I50" i="57"/>
  <c r="K50" i="57" s="1"/>
  <c r="I48" i="57"/>
  <c r="J48" i="57" s="1"/>
  <c r="I42" i="57"/>
  <c r="J42" i="57" s="1"/>
  <c r="I39" i="57"/>
  <c r="K39" i="57" s="1"/>
  <c r="I27" i="57"/>
  <c r="J27" i="57" s="1"/>
  <c r="I26" i="57"/>
  <c r="K26" i="57" s="1"/>
  <c r="I23" i="57"/>
  <c r="J23" i="57" s="1"/>
  <c r="I20" i="57"/>
  <c r="J20" i="57" s="1"/>
  <c r="I16" i="57"/>
  <c r="J16" i="57" s="1"/>
  <c r="I5" i="57"/>
  <c r="J5" i="57" s="1"/>
  <c r="J59" i="57" s="1"/>
  <c r="J113" i="57"/>
  <c r="K113" i="57"/>
  <c r="I109" i="57"/>
  <c r="J109" i="57" s="1"/>
  <c r="J226" i="57"/>
  <c r="H226" i="57"/>
  <c r="G226" i="57"/>
  <c r="F226" i="57"/>
  <c r="J225" i="57"/>
  <c r="H225" i="57"/>
  <c r="G225" i="57"/>
  <c r="F225" i="57"/>
  <c r="J224" i="57"/>
  <c r="H224" i="57"/>
  <c r="G224" i="57"/>
  <c r="F224" i="57"/>
  <c r="J223" i="57"/>
  <c r="H223" i="57"/>
  <c r="G223" i="57"/>
  <c r="F223" i="57"/>
  <c r="J210" i="57"/>
  <c r="J208" i="57"/>
  <c r="J207" i="57"/>
  <c r="G197" i="57"/>
  <c r="K197" i="57" s="1"/>
  <c r="F197" i="57"/>
  <c r="G196" i="57"/>
  <c r="K196" i="57" s="1"/>
  <c r="F196" i="57"/>
  <c r="G195" i="57"/>
  <c r="K195" i="57" s="1"/>
  <c r="F195" i="57"/>
  <c r="G194" i="57"/>
  <c r="K194" i="57" s="1"/>
  <c r="F194" i="57"/>
  <c r="G193" i="57"/>
  <c r="K193" i="57" s="1"/>
  <c r="F193" i="57"/>
  <c r="K192" i="57"/>
  <c r="J192" i="57"/>
  <c r="K191" i="57"/>
  <c r="J191" i="57"/>
  <c r="K190" i="57"/>
  <c r="J190" i="57"/>
  <c r="G189" i="57"/>
  <c r="K189" i="57" s="1"/>
  <c r="G188" i="57"/>
  <c r="K188" i="57" s="1"/>
  <c r="G187" i="57"/>
  <c r="J187" i="57" s="1"/>
  <c r="G186" i="57"/>
  <c r="K186" i="57" s="1"/>
  <c r="G185" i="57"/>
  <c r="J185" i="57" s="1"/>
  <c r="G184" i="57"/>
  <c r="K184" i="57" s="1"/>
  <c r="G183" i="57"/>
  <c r="J183" i="57" s="1"/>
  <c r="G182" i="57"/>
  <c r="K182" i="57" s="1"/>
  <c r="G181" i="57"/>
  <c r="K181" i="57" s="1"/>
  <c r="H179" i="57"/>
  <c r="G179" i="57"/>
  <c r="K179" i="57" s="1"/>
  <c r="H178" i="57"/>
  <c r="G178" i="57"/>
  <c r="K178" i="57" s="1"/>
  <c r="H177" i="57"/>
  <c r="G177" i="57"/>
  <c r="J177" i="57" s="1"/>
  <c r="H176" i="57"/>
  <c r="G176" i="57"/>
  <c r="K176" i="57" s="1"/>
  <c r="G175" i="57"/>
  <c r="K175" i="57" s="1"/>
  <c r="F175" i="57"/>
  <c r="G174" i="57"/>
  <c r="K174" i="57" s="1"/>
  <c r="F174" i="57"/>
  <c r="G173" i="57"/>
  <c r="K173" i="57" s="1"/>
  <c r="K172" i="57"/>
  <c r="J172" i="57"/>
  <c r="K171" i="57"/>
  <c r="J171" i="57"/>
  <c r="K170" i="57"/>
  <c r="J170" i="57"/>
  <c r="G169" i="57"/>
  <c r="J169" i="57" s="1"/>
  <c r="G168" i="57"/>
  <c r="K168" i="57" s="1"/>
  <c r="G167" i="57"/>
  <c r="J167" i="57" s="1"/>
  <c r="G166" i="57"/>
  <c r="J166" i="57" s="1"/>
  <c r="G165" i="57"/>
  <c r="K165" i="57" s="1"/>
  <c r="G164" i="57"/>
  <c r="K164" i="57" s="1"/>
  <c r="G163" i="57"/>
  <c r="J163" i="57" s="1"/>
  <c r="G162" i="57"/>
  <c r="J162" i="57" s="1"/>
  <c r="G161" i="57"/>
  <c r="J161" i="57" s="1"/>
  <c r="K149" i="57"/>
  <c r="H149" i="57"/>
  <c r="G149" i="57"/>
  <c r="F149" i="57"/>
  <c r="K148" i="57"/>
  <c r="G148" i="57"/>
  <c r="J148" i="57" s="1"/>
  <c r="K147" i="57"/>
  <c r="G147" i="57"/>
  <c r="J147" i="57" s="1"/>
  <c r="K146" i="57"/>
  <c r="G146" i="57"/>
  <c r="J146" i="57" s="1"/>
  <c r="K134" i="57"/>
  <c r="J134" i="57"/>
  <c r="G134" i="57"/>
  <c r="K133" i="57"/>
  <c r="J133" i="57"/>
  <c r="G133" i="57"/>
  <c r="K132" i="57"/>
  <c r="G132" i="57"/>
  <c r="J131" i="57"/>
  <c r="G131" i="57"/>
  <c r="K130" i="57"/>
  <c r="G130" i="57"/>
  <c r="K129" i="57"/>
  <c r="G129" i="57"/>
  <c r="K128" i="57"/>
  <c r="J128" i="57"/>
  <c r="G128" i="57"/>
  <c r="G127" i="57"/>
  <c r="K126" i="57"/>
  <c r="J126" i="57"/>
  <c r="G126" i="57"/>
  <c r="K124" i="57"/>
  <c r="G124" i="57"/>
  <c r="K123" i="57"/>
  <c r="G123" i="57"/>
  <c r="K122" i="57"/>
  <c r="G122" i="57"/>
  <c r="K121" i="57"/>
  <c r="J121" i="57"/>
  <c r="G121" i="57"/>
  <c r="G120" i="57"/>
  <c r="G119" i="57"/>
  <c r="J118" i="57"/>
  <c r="G118" i="57"/>
  <c r="K117" i="57"/>
  <c r="G117" i="57"/>
  <c r="K116" i="57"/>
  <c r="G116" i="57"/>
  <c r="J115" i="57"/>
  <c r="G115" i="57"/>
  <c r="J114" i="57"/>
  <c r="G114" i="57"/>
  <c r="K112" i="57"/>
  <c r="G112" i="57"/>
  <c r="J111" i="57"/>
  <c r="G111" i="57"/>
  <c r="K110" i="57"/>
  <c r="G110" i="57"/>
  <c r="G109" i="57"/>
  <c r="K105" i="57"/>
  <c r="J105" i="57"/>
  <c r="G105" i="57"/>
  <c r="K87" i="57"/>
  <c r="J87" i="57"/>
  <c r="K86" i="57"/>
  <c r="J86" i="57"/>
  <c r="K84" i="57"/>
  <c r="J84" i="57"/>
  <c r="K83" i="57"/>
  <c r="J83" i="57"/>
  <c r="K74" i="57"/>
  <c r="J74" i="57"/>
  <c r="K73" i="57"/>
  <c r="J73" i="57"/>
  <c r="K71" i="57"/>
  <c r="J71" i="57"/>
  <c r="K70" i="57"/>
  <c r="J70" i="57"/>
  <c r="K69" i="57"/>
  <c r="J69" i="57"/>
  <c r="K55" i="57"/>
  <c r="J55" i="57"/>
  <c r="K54" i="57"/>
  <c r="J54" i="57"/>
  <c r="K53" i="57"/>
  <c r="J53" i="57"/>
  <c r="K52" i="57"/>
  <c r="J52" i="57"/>
  <c r="K49" i="57"/>
  <c r="J49" i="57"/>
  <c r="J47" i="57"/>
  <c r="K46" i="57"/>
  <c r="J46" i="57"/>
  <c r="K45" i="57"/>
  <c r="J45" i="57"/>
  <c r="K43" i="57"/>
  <c r="J43" i="57"/>
  <c r="K37" i="57"/>
  <c r="J36" i="57"/>
  <c r="K35" i="57"/>
  <c r="J35" i="57"/>
  <c r="K34" i="57"/>
  <c r="J34" i="57"/>
  <c r="K32" i="57"/>
  <c r="J32" i="57"/>
  <c r="K30" i="57"/>
  <c r="J30" i="57"/>
  <c r="K29" i="57"/>
  <c r="J29" i="57"/>
  <c r="K28" i="57"/>
  <c r="J28" i="57"/>
  <c r="K24" i="57"/>
  <c r="K21" i="57"/>
  <c r="J21" i="57"/>
  <c r="K19" i="57"/>
  <c r="J19" i="57"/>
  <c r="K18" i="57"/>
  <c r="J18" i="57"/>
  <c r="K17" i="57"/>
  <c r="J17" i="57"/>
  <c r="K15" i="57"/>
  <c r="J15" i="57"/>
  <c r="K13" i="57"/>
  <c r="J13" i="57"/>
  <c r="K12" i="57"/>
  <c r="J12" i="57"/>
  <c r="K11" i="57"/>
  <c r="J11" i="57"/>
  <c r="K10" i="57"/>
  <c r="J10" i="57"/>
  <c r="K8" i="57"/>
  <c r="J8" i="57"/>
  <c r="K7" i="57"/>
  <c r="J7" i="57"/>
  <c r="K6" i="57"/>
  <c r="J6" i="57"/>
  <c r="I122" i="56"/>
  <c r="I108" i="56"/>
  <c r="I123" i="56"/>
  <c r="I47" i="56"/>
  <c r="I24" i="56"/>
  <c r="I23" i="56"/>
  <c r="I46" i="56"/>
  <c r="I41" i="56"/>
  <c r="I35" i="56"/>
  <c r="I5" i="56"/>
  <c r="I120" i="56"/>
  <c r="I115" i="56"/>
  <c r="I117" i="56"/>
  <c r="I102" i="56"/>
  <c r="I110" i="56"/>
  <c r="I113" i="56"/>
  <c r="I112" i="56"/>
  <c r="I111" i="56"/>
  <c r="I109" i="56"/>
  <c r="I107" i="56"/>
  <c r="I105" i="56"/>
  <c r="I103" i="56"/>
  <c r="I104" i="56"/>
  <c r="I124" i="56"/>
  <c r="I116" i="56"/>
  <c r="I20" i="56"/>
  <c r="J40" i="56"/>
  <c r="I36" i="56"/>
  <c r="J105" i="64" l="1"/>
  <c r="J143" i="65"/>
  <c r="J141" i="65"/>
  <c r="J142" i="65" s="1"/>
  <c r="J62" i="65"/>
  <c r="J63" i="65" s="1"/>
  <c r="J158" i="65"/>
  <c r="J187" i="65"/>
  <c r="J163" i="65"/>
  <c r="J202" i="65" s="1"/>
  <c r="J167" i="65"/>
  <c r="K187" i="65"/>
  <c r="J176" i="65"/>
  <c r="J179" i="65"/>
  <c r="J184" i="65"/>
  <c r="J188" i="65"/>
  <c r="J196" i="65"/>
  <c r="J64" i="65"/>
  <c r="J164" i="65"/>
  <c r="J168" i="65"/>
  <c r="J185" i="65"/>
  <c r="J189" i="65"/>
  <c r="J165" i="65"/>
  <c r="J169" i="65"/>
  <c r="J174" i="65"/>
  <c r="J177" i="65"/>
  <c r="J180" i="65"/>
  <c r="J194" i="65"/>
  <c r="J197" i="65"/>
  <c r="J186" i="65"/>
  <c r="J190" i="65"/>
  <c r="J143" i="64"/>
  <c r="J141" i="64"/>
  <c r="J142" i="64" s="1"/>
  <c r="J62" i="64"/>
  <c r="J63" i="64" s="1"/>
  <c r="J158" i="64"/>
  <c r="J187" i="64"/>
  <c r="J163" i="64"/>
  <c r="J202" i="64" s="1"/>
  <c r="J167" i="64"/>
  <c r="K187" i="64"/>
  <c r="J176" i="64"/>
  <c r="J179" i="64"/>
  <c r="J184" i="64"/>
  <c r="J188" i="64"/>
  <c r="J196" i="64"/>
  <c r="J64" i="64"/>
  <c r="J164" i="64"/>
  <c r="J168" i="64"/>
  <c r="J185" i="64"/>
  <c r="J189" i="64"/>
  <c r="J165" i="64"/>
  <c r="J169" i="64"/>
  <c r="J174" i="64"/>
  <c r="J177" i="64"/>
  <c r="J180" i="64"/>
  <c r="J194" i="64"/>
  <c r="J197" i="64"/>
  <c r="J186" i="64"/>
  <c r="J190" i="64"/>
  <c r="J60" i="63"/>
  <c r="J62" i="63"/>
  <c r="J63" i="63" s="1"/>
  <c r="J64" i="63"/>
  <c r="J96" i="63"/>
  <c r="J18" i="63"/>
  <c r="J28" i="63"/>
  <c r="J84" i="63"/>
  <c r="K13" i="63"/>
  <c r="K23" i="63"/>
  <c r="J34" i="63"/>
  <c r="J39" i="63"/>
  <c r="J49" i="63"/>
  <c r="J68" i="63"/>
  <c r="J101" i="63" s="1"/>
  <c r="J72" i="63"/>
  <c r="K76" i="63"/>
  <c r="K80" i="63"/>
  <c r="J110" i="63"/>
  <c r="J120" i="63"/>
  <c r="J123" i="63"/>
  <c r="J163" i="63"/>
  <c r="J202" i="63" s="1"/>
  <c r="J167" i="63"/>
  <c r="K187" i="63"/>
  <c r="J43" i="63"/>
  <c r="J88" i="63"/>
  <c r="K113" i="63"/>
  <c r="H221" i="63" s="1"/>
  <c r="J45" i="63"/>
  <c r="J89" i="63"/>
  <c r="J93" i="63"/>
  <c r="J97" i="63"/>
  <c r="J114" i="63"/>
  <c r="J117" i="63"/>
  <c r="K92" i="63"/>
  <c r="J179" i="63"/>
  <c r="J196" i="63"/>
  <c r="J36" i="63"/>
  <c r="J70" i="63"/>
  <c r="J74" i="63"/>
  <c r="J42" i="63"/>
  <c r="J87" i="63"/>
  <c r="J91" i="63"/>
  <c r="J95" i="63"/>
  <c r="J117" i="62"/>
  <c r="J115" i="62"/>
  <c r="K97" i="62"/>
  <c r="K77" i="62"/>
  <c r="K71" i="62"/>
  <c r="K55" i="62"/>
  <c r="J177" i="62"/>
  <c r="K180" i="62"/>
  <c r="J186" i="62"/>
  <c r="K21" i="62"/>
  <c r="J169" i="62"/>
  <c r="J28" i="62"/>
  <c r="K37" i="62"/>
  <c r="K178" i="62"/>
  <c r="J189" i="62"/>
  <c r="K15" i="62"/>
  <c r="J165" i="62"/>
  <c r="J170" i="62"/>
  <c r="J166" i="62"/>
  <c r="K176" i="62"/>
  <c r="J185" i="62"/>
  <c r="H218" i="62"/>
  <c r="J168" i="62"/>
  <c r="J182" i="62"/>
  <c r="K36" i="62"/>
  <c r="J174" i="62"/>
  <c r="J12" i="62"/>
  <c r="J164" i="62"/>
  <c r="K18" i="62"/>
  <c r="K184" i="62"/>
  <c r="J50" i="62"/>
  <c r="J48" i="62"/>
  <c r="J35" i="62"/>
  <c r="J34" i="62"/>
  <c r="J24" i="62"/>
  <c r="J23" i="62"/>
  <c r="J17" i="62"/>
  <c r="J16" i="62"/>
  <c r="J13" i="62"/>
  <c r="J5" i="62"/>
  <c r="J60" i="62"/>
  <c r="J62" i="62" s="1"/>
  <c r="J63" i="62" s="1"/>
  <c r="F220" i="62"/>
  <c r="H221" i="62"/>
  <c r="J154" i="62"/>
  <c r="J156" i="62" s="1"/>
  <c r="J157" i="62" s="1"/>
  <c r="J175" i="62"/>
  <c r="K81" i="62"/>
  <c r="J163" i="62"/>
  <c r="J167" i="62"/>
  <c r="J195" i="62"/>
  <c r="J198" i="62"/>
  <c r="J39" i="62"/>
  <c r="J46" i="62"/>
  <c r="J110" i="62"/>
  <c r="J113" i="62"/>
  <c r="J123" i="62"/>
  <c r="J187" i="62"/>
  <c r="J45" i="62"/>
  <c r="J119" i="62"/>
  <c r="J114" i="62"/>
  <c r="J188" i="62"/>
  <c r="J196" i="62"/>
  <c r="J194" i="62"/>
  <c r="J197" i="62"/>
  <c r="J94" i="61"/>
  <c r="J100" i="61" s="1"/>
  <c r="J102" i="61" s="1"/>
  <c r="J103" i="61" s="1"/>
  <c r="K80" i="61"/>
  <c r="K45" i="61"/>
  <c r="K81" i="61"/>
  <c r="J76" i="61"/>
  <c r="J90" i="61"/>
  <c r="K35" i="61"/>
  <c r="K42" i="61"/>
  <c r="J122" i="61"/>
  <c r="J138" i="61" s="1"/>
  <c r="J140" i="61" s="1"/>
  <c r="J141" i="61" s="1"/>
  <c r="J113" i="61"/>
  <c r="K111" i="61"/>
  <c r="K109" i="61"/>
  <c r="K82" i="61"/>
  <c r="K15" i="61"/>
  <c r="J59" i="61"/>
  <c r="J61" i="61" s="1"/>
  <c r="J62" i="61" s="1"/>
  <c r="J153" i="60"/>
  <c r="J155" i="60" s="1"/>
  <c r="J156" i="60" s="1"/>
  <c r="K195" i="60"/>
  <c r="J175" i="60"/>
  <c r="F219" i="61"/>
  <c r="K162" i="60"/>
  <c r="J165" i="61"/>
  <c r="J177" i="61"/>
  <c r="J197" i="60"/>
  <c r="J194" i="61"/>
  <c r="J166" i="60"/>
  <c r="J194" i="60"/>
  <c r="J174" i="61"/>
  <c r="J179" i="60"/>
  <c r="J153" i="61"/>
  <c r="J155" i="61" s="1"/>
  <c r="J156" i="61" s="1"/>
  <c r="K169" i="61"/>
  <c r="J197" i="61"/>
  <c r="K181" i="61"/>
  <c r="J162" i="61"/>
  <c r="K166" i="61"/>
  <c r="J175" i="61"/>
  <c r="K178" i="61"/>
  <c r="K183" i="61"/>
  <c r="K187" i="61"/>
  <c r="K163" i="61"/>
  <c r="K167" i="61"/>
  <c r="J184" i="61"/>
  <c r="J168" i="61"/>
  <c r="J176" i="61"/>
  <c r="J179" i="61"/>
  <c r="J193" i="61"/>
  <c r="J185" i="61"/>
  <c r="J189" i="61"/>
  <c r="J186" i="61"/>
  <c r="J195" i="61"/>
  <c r="J188" i="61"/>
  <c r="J164" i="61"/>
  <c r="J173" i="61"/>
  <c r="J196" i="61"/>
  <c r="H220" i="60"/>
  <c r="K67" i="60"/>
  <c r="J67" i="60"/>
  <c r="J34" i="60"/>
  <c r="J109" i="60"/>
  <c r="J186" i="60"/>
  <c r="J16" i="60"/>
  <c r="J23" i="60"/>
  <c r="J29" i="60"/>
  <c r="J79" i="60"/>
  <c r="J90" i="60"/>
  <c r="J95" i="60"/>
  <c r="J10" i="60"/>
  <c r="J69" i="60"/>
  <c r="K161" i="60"/>
  <c r="J161" i="60"/>
  <c r="J176" i="60"/>
  <c r="J35" i="60"/>
  <c r="J75" i="60"/>
  <c r="J187" i="60"/>
  <c r="K11" i="60"/>
  <c r="J11" i="60"/>
  <c r="J18" i="60"/>
  <c r="J30" i="60"/>
  <c r="J86" i="60"/>
  <c r="J91" i="60"/>
  <c r="J96" i="60"/>
  <c r="J183" i="60"/>
  <c r="K187" i="60"/>
  <c r="J50" i="60"/>
  <c r="J70" i="60"/>
  <c r="J167" i="60"/>
  <c r="J173" i="60"/>
  <c r="K188" i="60"/>
  <c r="J188" i="60"/>
  <c r="K5" i="60"/>
  <c r="F219" i="60" s="1"/>
  <c r="J5" i="60"/>
  <c r="J59" i="60" s="1"/>
  <c r="J63" i="60" s="1"/>
  <c r="J26" i="60"/>
  <c r="J120" i="60"/>
  <c r="J19" i="60"/>
  <c r="K71" i="60"/>
  <c r="J71" i="60"/>
  <c r="J87" i="60"/>
  <c r="J92" i="60"/>
  <c r="J163" i="60"/>
  <c r="J178" i="60"/>
  <c r="J13" i="60"/>
  <c r="J51" i="60"/>
  <c r="J168" i="60"/>
  <c r="J184" i="60"/>
  <c r="K164" i="60"/>
  <c r="J121" i="60"/>
  <c r="J193" i="60"/>
  <c r="J196" i="60"/>
  <c r="J27" i="60"/>
  <c r="J36" i="60"/>
  <c r="J48" i="60"/>
  <c r="J76" i="60"/>
  <c r="J80" i="60"/>
  <c r="J165" i="60"/>
  <c r="J169" i="60"/>
  <c r="J181" i="60"/>
  <c r="J185" i="60"/>
  <c r="J17" i="60"/>
  <c r="J21" i="60"/>
  <c r="J42" i="60"/>
  <c r="J85" i="60"/>
  <c r="J89" i="60"/>
  <c r="J93" i="60"/>
  <c r="J110" i="60"/>
  <c r="J174" i="60"/>
  <c r="J177" i="60"/>
  <c r="J189" i="60"/>
  <c r="F219" i="58"/>
  <c r="J153" i="58"/>
  <c r="J155" i="58" s="1"/>
  <c r="J156" i="58" s="1"/>
  <c r="K91" i="58"/>
  <c r="K17" i="58"/>
  <c r="J92" i="58"/>
  <c r="J18" i="58"/>
  <c r="J93" i="58"/>
  <c r="J19" i="58"/>
  <c r="J197" i="58"/>
  <c r="K224" i="58"/>
  <c r="J21" i="58"/>
  <c r="K225" i="58"/>
  <c r="J33" i="58"/>
  <c r="J83" i="58"/>
  <c r="K177" i="58"/>
  <c r="J194" i="58"/>
  <c r="J34" i="58"/>
  <c r="J11" i="58"/>
  <c r="J86" i="58"/>
  <c r="K174" i="58"/>
  <c r="K35" i="58"/>
  <c r="J87" i="58"/>
  <c r="K184" i="58"/>
  <c r="K164" i="58"/>
  <c r="K162" i="58"/>
  <c r="K161" i="58"/>
  <c r="K121" i="58"/>
  <c r="K120" i="58"/>
  <c r="K109" i="58"/>
  <c r="J96" i="58"/>
  <c r="K95" i="58"/>
  <c r="J89" i="58"/>
  <c r="K85" i="58"/>
  <c r="J72" i="58"/>
  <c r="J71" i="58"/>
  <c r="K70" i="58"/>
  <c r="J69" i="58"/>
  <c r="K68" i="58"/>
  <c r="K37" i="58"/>
  <c r="K36" i="58"/>
  <c r="J30" i="58"/>
  <c r="K27" i="58"/>
  <c r="K13" i="58"/>
  <c r="J12" i="58"/>
  <c r="K82" i="58"/>
  <c r="J82" i="58"/>
  <c r="J16" i="58"/>
  <c r="K195" i="58"/>
  <c r="J195" i="58"/>
  <c r="J48" i="58"/>
  <c r="K77" i="58"/>
  <c r="J78" i="58"/>
  <c r="K78" i="58"/>
  <c r="J23" i="58"/>
  <c r="J175" i="58"/>
  <c r="J162" i="58"/>
  <c r="J182" i="58"/>
  <c r="K163" i="58"/>
  <c r="J163" i="58"/>
  <c r="K183" i="58"/>
  <c r="J183" i="58"/>
  <c r="J67" i="58"/>
  <c r="J166" i="58"/>
  <c r="J186" i="58"/>
  <c r="J178" i="58"/>
  <c r="J42" i="58"/>
  <c r="J138" i="58"/>
  <c r="K167" i="58"/>
  <c r="J167" i="58"/>
  <c r="K187" i="58"/>
  <c r="J187" i="58"/>
  <c r="J88" i="58"/>
  <c r="J5" i="58"/>
  <c r="J63" i="58" s="1"/>
  <c r="J50" i="58"/>
  <c r="J75" i="58"/>
  <c r="J79" i="58"/>
  <c r="J94" i="58"/>
  <c r="J164" i="58"/>
  <c r="J168" i="58"/>
  <c r="J173" i="58"/>
  <c r="J176" i="58"/>
  <c r="J179" i="58"/>
  <c r="J184" i="58"/>
  <c r="J188" i="58"/>
  <c r="J26" i="58"/>
  <c r="J39" i="58"/>
  <c r="J193" i="58"/>
  <c r="J196" i="58"/>
  <c r="K223" i="58"/>
  <c r="J20" i="58"/>
  <c r="J51" i="58"/>
  <c r="J76" i="58"/>
  <c r="J80" i="58"/>
  <c r="J161" i="58"/>
  <c r="J165" i="58"/>
  <c r="J169" i="58"/>
  <c r="J181" i="58"/>
  <c r="J185" i="58"/>
  <c r="J189" i="58"/>
  <c r="J88" i="57"/>
  <c r="K94" i="57"/>
  <c r="J67" i="57"/>
  <c r="K96" i="57"/>
  <c r="J77" i="57"/>
  <c r="J89" i="57"/>
  <c r="K27" i="57"/>
  <c r="J72" i="57"/>
  <c r="K16" i="57"/>
  <c r="J39" i="57"/>
  <c r="J79" i="57"/>
  <c r="K226" i="57"/>
  <c r="J149" i="57"/>
  <c r="K163" i="57"/>
  <c r="J178" i="57"/>
  <c r="J168" i="57"/>
  <c r="K224" i="57"/>
  <c r="J197" i="57"/>
  <c r="K85" i="57"/>
  <c r="K82" i="57"/>
  <c r="J75" i="57"/>
  <c r="J51" i="57"/>
  <c r="J50" i="57"/>
  <c r="J26" i="57"/>
  <c r="K23" i="57"/>
  <c r="K36" i="57"/>
  <c r="K111" i="57"/>
  <c r="J164" i="57"/>
  <c r="K185" i="57"/>
  <c r="J37" i="57"/>
  <c r="J78" i="57"/>
  <c r="J122" i="57"/>
  <c r="J176" i="57"/>
  <c r="K225" i="57"/>
  <c r="K167" i="57"/>
  <c r="J173" i="57"/>
  <c r="J182" i="57"/>
  <c r="J189" i="57"/>
  <c r="J194" i="57"/>
  <c r="J129" i="57"/>
  <c r="K223" i="57"/>
  <c r="J153" i="57"/>
  <c r="J155" i="57" s="1"/>
  <c r="J156" i="57" s="1"/>
  <c r="J61" i="57"/>
  <c r="J62" i="57" s="1"/>
  <c r="J63" i="57"/>
  <c r="J116" i="57"/>
  <c r="J165" i="57"/>
  <c r="K5" i="57"/>
  <c r="F219" i="57" s="1"/>
  <c r="J123" i="57"/>
  <c r="J174" i="57"/>
  <c r="J184" i="57"/>
  <c r="K114" i="57"/>
  <c r="K20" i="57"/>
  <c r="K42" i="57"/>
  <c r="K48" i="57"/>
  <c r="J76" i="57"/>
  <c r="K131" i="57"/>
  <c r="K162" i="57"/>
  <c r="K166" i="57"/>
  <c r="K177" i="57"/>
  <c r="J181" i="57"/>
  <c r="J188" i="57"/>
  <c r="J112" i="57"/>
  <c r="J119" i="57"/>
  <c r="J24" i="57"/>
  <c r="J130" i="57"/>
  <c r="K183" i="57"/>
  <c r="J127" i="57"/>
  <c r="K47" i="57"/>
  <c r="J80" i="57"/>
  <c r="J110" i="57"/>
  <c r="J120" i="57"/>
  <c r="K187" i="57"/>
  <c r="J81" i="57"/>
  <c r="J124" i="57"/>
  <c r="J175" i="57"/>
  <c r="J193" i="57"/>
  <c r="J196" i="57"/>
  <c r="J186" i="57"/>
  <c r="K109" i="57"/>
  <c r="K169" i="57"/>
  <c r="J179" i="57"/>
  <c r="K161" i="57"/>
  <c r="J195" i="57"/>
  <c r="J117" i="57"/>
  <c r="J68" i="56"/>
  <c r="K68" i="56"/>
  <c r="J69" i="56"/>
  <c r="K69" i="56"/>
  <c r="J70" i="56"/>
  <c r="K70" i="56"/>
  <c r="J71" i="56"/>
  <c r="K71" i="56"/>
  <c r="J72" i="56"/>
  <c r="K72" i="56"/>
  <c r="J73" i="56"/>
  <c r="K73" i="56"/>
  <c r="J74" i="56"/>
  <c r="K74" i="56"/>
  <c r="J75" i="56"/>
  <c r="K75" i="56"/>
  <c r="J76" i="56"/>
  <c r="K76" i="56"/>
  <c r="J77" i="56"/>
  <c r="K77" i="56"/>
  <c r="J78" i="56"/>
  <c r="K78" i="56"/>
  <c r="J79" i="56"/>
  <c r="K79" i="56"/>
  <c r="J80" i="56"/>
  <c r="K80" i="56"/>
  <c r="J81" i="56"/>
  <c r="K81" i="56"/>
  <c r="J82" i="56"/>
  <c r="K82" i="56"/>
  <c r="J83" i="56"/>
  <c r="K83" i="56"/>
  <c r="J84" i="56"/>
  <c r="K84" i="56"/>
  <c r="J85" i="56"/>
  <c r="K85" i="56"/>
  <c r="J86" i="56"/>
  <c r="K86" i="56"/>
  <c r="J87" i="56"/>
  <c r="K87" i="56"/>
  <c r="J88" i="56"/>
  <c r="K88" i="56"/>
  <c r="J89" i="56"/>
  <c r="K89" i="56"/>
  <c r="G98" i="56"/>
  <c r="J98" i="56"/>
  <c r="K98" i="56"/>
  <c r="G102" i="56"/>
  <c r="J102" i="56"/>
  <c r="K102" i="56"/>
  <c r="G103" i="56"/>
  <c r="J103" i="56"/>
  <c r="K103" i="56"/>
  <c r="G104" i="56"/>
  <c r="J104" i="56"/>
  <c r="K104" i="56"/>
  <c r="G105" i="56"/>
  <c r="J105" i="56"/>
  <c r="K105" i="56"/>
  <c r="G107" i="56"/>
  <c r="J107" i="56"/>
  <c r="K107" i="56"/>
  <c r="G108" i="56"/>
  <c r="J108" i="56"/>
  <c r="K108" i="56"/>
  <c r="G109" i="56"/>
  <c r="J109" i="56"/>
  <c r="K109" i="56"/>
  <c r="G110" i="56"/>
  <c r="J110" i="56"/>
  <c r="K110" i="56"/>
  <c r="G111" i="56"/>
  <c r="J111" i="56"/>
  <c r="K111" i="56"/>
  <c r="G112" i="56"/>
  <c r="J112" i="56"/>
  <c r="K112" i="56"/>
  <c r="G113" i="56"/>
  <c r="J113" i="56"/>
  <c r="K113" i="56"/>
  <c r="G114" i="56"/>
  <c r="J114" i="56"/>
  <c r="K114" i="56"/>
  <c r="G115" i="56"/>
  <c r="J115" i="56"/>
  <c r="K115" i="56"/>
  <c r="G116" i="56"/>
  <c r="J116" i="56"/>
  <c r="K116" i="56"/>
  <c r="G117" i="56"/>
  <c r="J117" i="56"/>
  <c r="K117" i="56"/>
  <c r="G119" i="56"/>
  <c r="J119" i="56"/>
  <c r="K119" i="56"/>
  <c r="G120" i="56"/>
  <c r="J120" i="56"/>
  <c r="K120" i="56"/>
  <c r="G121" i="56"/>
  <c r="J121" i="56"/>
  <c r="K121" i="56"/>
  <c r="G122" i="56"/>
  <c r="J122" i="56"/>
  <c r="K122" i="56"/>
  <c r="G123" i="56"/>
  <c r="J123" i="56"/>
  <c r="K123" i="56"/>
  <c r="G124" i="56"/>
  <c r="J124" i="56"/>
  <c r="K124" i="56"/>
  <c r="G125" i="56"/>
  <c r="K125" i="56"/>
  <c r="G126" i="56"/>
  <c r="J126" i="56"/>
  <c r="K126" i="56"/>
  <c r="G127" i="56"/>
  <c r="J127" i="56"/>
  <c r="K127" i="56"/>
  <c r="J139" i="56"/>
  <c r="K139" i="56"/>
  <c r="J140" i="56"/>
  <c r="K140" i="56"/>
  <c r="J141" i="56"/>
  <c r="K141" i="56"/>
  <c r="F142" i="56"/>
  <c r="G142" i="56"/>
  <c r="H142" i="56"/>
  <c r="K142" i="56"/>
  <c r="G154" i="56"/>
  <c r="J154" i="56" s="1"/>
  <c r="G155" i="56"/>
  <c r="J155" i="56" s="1"/>
  <c r="G156" i="56"/>
  <c r="J156" i="56" s="1"/>
  <c r="G157" i="56"/>
  <c r="K157" i="56" s="1"/>
  <c r="G158" i="56"/>
  <c r="J158" i="56" s="1"/>
  <c r="G159" i="56"/>
  <c r="J159" i="56" s="1"/>
  <c r="G160" i="56"/>
  <c r="K160" i="56" s="1"/>
  <c r="G161" i="56"/>
  <c r="K161" i="56" s="1"/>
  <c r="G162" i="56"/>
  <c r="J162" i="56" s="1"/>
  <c r="J163" i="56"/>
  <c r="K163" i="56"/>
  <c r="J164" i="56"/>
  <c r="K164" i="56"/>
  <c r="J165" i="56"/>
  <c r="K165" i="56"/>
  <c r="G166" i="56"/>
  <c r="K166" i="56" s="1"/>
  <c r="F167" i="56"/>
  <c r="G167" i="56"/>
  <c r="J167" i="56" s="1"/>
  <c r="F168" i="56"/>
  <c r="G168" i="56"/>
  <c r="K168" i="56" s="1"/>
  <c r="F169" i="56"/>
  <c r="G169" i="56"/>
  <c r="K169" i="56" s="1"/>
  <c r="H169" i="56"/>
  <c r="F170" i="56"/>
  <c r="G170" i="56"/>
  <c r="J170" i="56" s="1"/>
  <c r="H170" i="56"/>
  <c r="F171" i="56"/>
  <c r="G171" i="56"/>
  <c r="J171" i="56" s="1"/>
  <c r="H171" i="56"/>
  <c r="F172" i="56"/>
  <c r="G172" i="56"/>
  <c r="J172" i="56" s="1"/>
  <c r="H172" i="56"/>
  <c r="G174" i="56"/>
  <c r="J174" i="56" s="1"/>
  <c r="G175" i="56"/>
  <c r="J175" i="56" s="1"/>
  <c r="G176" i="56"/>
  <c r="J176" i="56" s="1"/>
  <c r="G177" i="56"/>
  <c r="K177" i="56" s="1"/>
  <c r="G178" i="56"/>
  <c r="J178" i="56" s="1"/>
  <c r="G179" i="56"/>
  <c r="J179" i="56" s="1"/>
  <c r="G180" i="56"/>
  <c r="K180" i="56" s="1"/>
  <c r="G181" i="56"/>
  <c r="K181" i="56" s="1"/>
  <c r="G182" i="56"/>
  <c r="J182" i="56" s="1"/>
  <c r="G183" i="56"/>
  <c r="J183" i="56" s="1"/>
  <c r="J184" i="56"/>
  <c r="K184" i="56"/>
  <c r="J185" i="56"/>
  <c r="K185" i="56"/>
  <c r="J186" i="56"/>
  <c r="K186" i="56"/>
  <c r="F187" i="56"/>
  <c r="G187" i="56"/>
  <c r="J187" i="56" s="1"/>
  <c r="F188" i="56"/>
  <c r="G188" i="56"/>
  <c r="K188" i="56" s="1"/>
  <c r="F189" i="56"/>
  <c r="G189" i="56"/>
  <c r="J189" i="56" s="1"/>
  <c r="F190" i="56"/>
  <c r="G190" i="56"/>
  <c r="K190" i="56" s="1"/>
  <c r="F191" i="56"/>
  <c r="G191" i="56"/>
  <c r="J191" i="56" s="1"/>
  <c r="J202" i="56"/>
  <c r="J204" i="56"/>
  <c r="F217" i="56"/>
  <c r="G217" i="56"/>
  <c r="H217" i="56"/>
  <c r="J217" i="56"/>
  <c r="F218" i="56"/>
  <c r="G218" i="56"/>
  <c r="H218" i="56"/>
  <c r="J218" i="56"/>
  <c r="F219" i="56"/>
  <c r="G219" i="56"/>
  <c r="H219" i="56"/>
  <c r="J219" i="56"/>
  <c r="F220" i="56"/>
  <c r="G220" i="56"/>
  <c r="H220" i="56"/>
  <c r="J220" i="56"/>
  <c r="J206" i="65" l="1"/>
  <c r="J204" i="65"/>
  <c r="J205" i="65" s="1"/>
  <c r="J210" i="65"/>
  <c r="J206" i="64"/>
  <c r="J204" i="64"/>
  <c r="J205" i="64" s="1"/>
  <c r="J210" i="64"/>
  <c r="J204" i="63"/>
  <c r="J205" i="63" s="1"/>
  <c r="J206" i="63"/>
  <c r="J139" i="63"/>
  <c r="J105" i="63"/>
  <c r="J103" i="63"/>
  <c r="J104" i="63" s="1"/>
  <c r="J101" i="62"/>
  <c r="J103" i="62" s="1"/>
  <c r="J104" i="62" s="1"/>
  <c r="J202" i="62"/>
  <c r="J64" i="62"/>
  <c r="J204" i="62"/>
  <c r="J205" i="62" s="1"/>
  <c r="J206" i="62"/>
  <c r="J139" i="62"/>
  <c r="J142" i="61"/>
  <c r="H220" i="61"/>
  <c r="J157" i="61"/>
  <c r="J63" i="61"/>
  <c r="H217" i="61"/>
  <c r="J104" i="61"/>
  <c r="J201" i="61"/>
  <c r="J138" i="60"/>
  <c r="J201" i="60"/>
  <c r="J209" i="60" s="1"/>
  <c r="H217" i="60"/>
  <c r="J100" i="60"/>
  <c r="J61" i="60"/>
  <c r="J62" i="60" s="1"/>
  <c r="H220" i="58"/>
  <c r="H217" i="58"/>
  <c r="J61" i="58"/>
  <c r="J62" i="58" s="1"/>
  <c r="J100" i="58"/>
  <c r="J201" i="58"/>
  <c r="J140" i="58"/>
  <c r="J141" i="58" s="1"/>
  <c r="J142" i="58"/>
  <c r="J157" i="58"/>
  <c r="H220" i="57"/>
  <c r="J201" i="57"/>
  <c r="J203" i="57" s="1"/>
  <c r="J204" i="57" s="1"/>
  <c r="J100" i="57"/>
  <c r="J102" i="57" s="1"/>
  <c r="J103" i="57" s="1"/>
  <c r="J138" i="57"/>
  <c r="J140" i="57" s="1"/>
  <c r="J141" i="57" s="1"/>
  <c r="H217" i="57"/>
  <c r="J93" i="56"/>
  <c r="J95" i="56" s="1"/>
  <c r="J96" i="56" s="1"/>
  <c r="K178" i="56"/>
  <c r="K158" i="56"/>
  <c r="K220" i="56"/>
  <c r="K191" i="56"/>
  <c r="J161" i="56"/>
  <c r="K172" i="56"/>
  <c r="K218" i="56"/>
  <c r="J160" i="56"/>
  <c r="J181" i="56"/>
  <c r="K159" i="56"/>
  <c r="J131" i="56"/>
  <c r="J150" i="56" s="1"/>
  <c r="H214" i="56"/>
  <c r="K219" i="56"/>
  <c r="J142" i="56"/>
  <c r="J146" i="56"/>
  <c r="K187" i="56"/>
  <c r="K167" i="56"/>
  <c r="J180" i="56"/>
  <c r="K189" i="56"/>
  <c r="K174" i="56"/>
  <c r="K171" i="56"/>
  <c r="J169" i="56"/>
  <c r="K154" i="56"/>
  <c r="K182" i="56"/>
  <c r="K179" i="56"/>
  <c r="K162" i="56"/>
  <c r="K217" i="56"/>
  <c r="J190" i="56"/>
  <c r="J188" i="56"/>
  <c r="J177" i="56"/>
  <c r="J168" i="56"/>
  <c r="J166" i="56"/>
  <c r="J157" i="56"/>
  <c r="K176" i="56"/>
  <c r="K156" i="56"/>
  <c r="K183" i="56"/>
  <c r="K175" i="56"/>
  <c r="K170" i="56"/>
  <c r="K155" i="56"/>
  <c r="J148" i="56" l="1"/>
  <c r="J149" i="56" s="1"/>
  <c r="J212" i="65"/>
  <c r="J213" i="65" s="1"/>
  <c r="J214" i="65"/>
  <c r="J212" i="64"/>
  <c r="J213" i="64" s="1"/>
  <c r="J214" i="64"/>
  <c r="J141" i="63"/>
  <c r="J142" i="63" s="1"/>
  <c r="J158" i="63"/>
  <c r="J210" i="63"/>
  <c r="J143" i="63"/>
  <c r="J105" i="62"/>
  <c r="J158" i="62"/>
  <c r="J143" i="62"/>
  <c r="J141" i="62"/>
  <c r="J142" i="62" s="1"/>
  <c r="J210" i="62"/>
  <c r="J203" i="61"/>
  <c r="J204" i="61" s="1"/>
  <c r="J205" i="61"/>
  <c r="J209" i="61"/>
  <c r="J213" i="60"/>
  <c r="J211" i="60"/>
  <c r="J212" i="60" s="1"/>
  <c r="J102" i="60"/>
  <c r="J103" i="60" s="1"/>
  <c r="J104" i="60"/>
  <c r="J203" i="60"/>
  <c r="J204" i="60" s="1"/>
  <c r="J205" i="60"/>
  <c r="J140" i="60"/>
  <c r="J141" i="60" s="1"/>
  <c r="J157" i="60"/>
  <c r="J142" i="60"/>
  <c r="J205" i="58"/>
  <c r="J203" i="58"/>
  <c r="J204" i="58" s="1"/>
  <c r="J102" i="58"/>
  <c r="J103" i="58" s="1"/>
  <c r="J104" i="58"/>
  <c r="J209" i="58"/>
  <c r="J205" i="57"/>
  <c r="J104" i="57"/>
  <c r="J157" i="57"/>
  <c r="J142" i="57"/>
  <c r="J209" i="57"/>
  <c r="J211" i="57" s="1"/>
  <c r="J212" i="57" s="1"/>
  <c r="J97" i="56"/>
  <c r="J135" i="56"/>
  <c r="J133" i="56"/>
  <c r="J134" i="56" s="1"/>
  <c r="J195" i="56"/>
  <c r="J199" i="56" s="1"/>
  <c r="H211" i="56"/>
  <c r="J214" i="63" l="1"/>
  <c r="J212" i="63"/>
  <c r="J213" i="63" s="1"/>
  <c r="J212" i="62"/>
  <c r="J213" i="62" s="1"/>
  <c r="J214" i="62"/>
  <c r="J211" i="61"/>
  <c r="J212" i="61" s="1"/>
  <c r="J213" i="61"/>
  <c r="J211" i="58"/>
  <c r="J212" i="58" s="1"/>
  <c r="J213" i="58"/>
  <c r="J213" i="57"/>
  <c r="J197" i="56"/>
  <c r="J198" i="56" s="1"/>
  <c r="K53" i="56" l="1"/>
  <c r="J53" i="56"/>
  <c r="K52" i="56"/>
  <c r="J52" i="56"/>
  <c r="K51" i="56"/>
  <c r="J51" i="56"/>
  <c r="K50" i="56"/>
  <c r="J50" i="56"/>
  <c r="K49" i="56"/>
  <c r="J49" i="56"/>
  <c r="K48" i="56"/>
  <c r="J48" i="56"/>
  <c r="K47" i="56"/>
  <c r="J47" i="56"/>
  <c r="K46" i="56"/>
  <c r="J46" i="56"/>
  <c r="K45" i="56"/>
  <c r="J45" i="56"/>
  <c r="K44" i="56"/>
  <c r="J44" i="56"/>
  <c r="K42" i="56"/>
  <c r="J42" i="56"/>
  <c r="K41" i="56"/>
  <c r="J41" i="56"/>
  <c r="K38" i="56"/>
  <c r="J38" i="56"/>
  <c r="J36" i="56"/>
  <c r="K35" i="56"/>
  <c r="J34" i="56"/>
  <c r="K33" i="56"/>
  <c r="J32" i="56"/>
  <c r="J30" i="56"/>
  <c r="K29" i="56"/>
  <c r="J28" i="56"/>
  <c r="J27" i="56"/>
  <c r="J26" i="56"/>
  <c r="J24" i="56"/>
  <c r="K23" i="56"/>
  <c r="J21" i="56"/>
  <c r="J20" i="56"/>
  <c r="K19" i="56"/>
  <c r="J18" i="56"/>
  <c r="K17" i="56"/>
  <c r="J16" i="56"/>
  <c r="K15" i="56"/>
  <c r="K13" i="56"/>
  <c r="J12" i="56"/>
  <c r="K11" i="56"/>
  <c r="J10" i="56"/>
  <c r="K7" i="56"/>
  <c r="J6" i="56"/>
  <c r="J19" i="56" l="1"/>
  <c r="K27" i="56"/>
  <c r="K10" i="56"/>
  <c r="K34" i="56"/>
  <c r="J11" i="56"/>
  <c r="J58" i="56" s="1"/>
  <c r="K30" i="56"/>
  <c r="K18" i="56"/>
  <c r="K6" i="56"/>
  <c r="J35" i="56"/>
  <c r="J7" i="56"/>
  <c r="J15" i="56"/>
  <c r="K21" i="56"/>
  <c r="K26" i="56"/>
  <c r="K5" i="56"/>
  <c r="J23" i="56"/>
  <c r="K12" i="56"/>
  <c r="K28" i="56"/>
  <c r="J13" i="56"/>
  <c r="K16" i="56"/>
  <c r="J29" i="56"/>
  <c r="K32" i="56"/>
  <c r="J17" i="56"/>
  <c r="K20" i="56"/>
  <c r="J33" i="56"/>
  <c r="K36" i="56"/>
  <c r="K24" i="56"/>
  <c r="F213" i="56" l="1"/>
  <c r="J203" i="56"/>
  <c r="J62" i="56" l="1"/>
  <c r="J61" i="56"/>
  <c r="J207" i="56" l="1"/>
  <c r="J205" i="56"/>
  <c r="J206" i="56" s="1"/>
</calcChain>
</file>

<file path=xl/sharedStrings.xml><?xml version="1.0" encoding="utf-8"?>
<sst xmlns="http://schemas.openxmlformats.org/spreadsheetml/2006/main" count="2215" uniqueCount="227">
  <si>
    <t>Open</t>
  </si>
  <si>
    <t>DELIVERIES</t>
  </si>
  <si>
    <t>Inventory</t>
  </si>
  <si>
    <t>Size</t>
  </si>
  <si>
    <t>Price</t>
  </si>
  <si>
    <t>Close</t>
  </si>
  <si>
    <t>Value</t>
  </si>
  <si>
    <t>Usage</t>
  </si>
  <si>
    <t>Liquor</t>
  </si>
  <si>
    <t>Beginning Inventory</t>
  </si>
  <si>
    <t>Total Purchases</t>
  </si>
  <si>
    <t>Less Ending Inventory</t>
  </si>
  <si>
    <t>Liquor Sales</t>
  </si>
  <si>
    <t>Liquor Cost $$</t>
  </si>
  <si>
    <t>Liquor Cost %%</t>
  </si>
  <si>
    <t>Beer, Ciders &amp; Coolers</t>
  </si>
  <si>
    <t>Corona</t>
  </si>
  <si>
    <t>Heineken</t>
  </si>
  <si>
    <t>Pilsner</t>
  </si>
  <si>
    <t>Stella</t>
  </si>
  <si>
    <t>Bud Light</t>
  </si>
  <si>
    <t>Beer, Ciders &amp; Cooler Purchases</t>
  </si>
  <si>
    <t>Beer, Ciders &amp; Coolers Sales</t>
  </si>
  <si>
    <t>Beer, Ciders &amp; Coolers Total Cost $$</t>
  </si>
  <si>
    <t>Beer, Ciders &amp; Coolers Total Cost %%</t>
  </si>
  <si>
    <t>White Wine</t>
  </si>
  <si>
    <t>Red Wine</t>
  </si>
  <si>
    <t>Wine Purchases</t>
  </si>
  <si>
    <t>Wine Sales</t>
  </si>
  <si>
    <t>Wine Total Cost $$</t>
  </si>
  <si>
    <t>Wine Total Cost %%</t>
  </si>
  <si>
    <t>TOTAL BEGINNING INVENTORY</t>
  </si>
  <si>
    <t>TOTAL PURCHASES</t>
  </si>
  <si>
    <t>TOTAL LESS ENDING INVENTORY</t>
  </si>
  <si>
    <t>TOTAL SALES</t>
  </si>
  <si>
    <t>TOTAL COST $$</t>
  </si>
  <si>
    <t>TOTAL COST %%</t>
  </si>
  <si>
    <t>Sales Trend Report</t>
  </si>
  <si>
    <t>Sold</t>
  </si>
  <si>
    <t>Total Singles</t>
  </si>
  <si>
    <t>Total Doubles</t>
  </si>
  <si>
    <t>Total Triples</t>
  </si>
  <si>
    <t>Wines</t>
  </si>
  <si>
    <t>Bottle</t>
  </si>
  <si>
    <t>MGD</t>
  </si>
  <si>
    <t>Beers &amp; Coolers</t>
  </si>
  <si>
    <t>8 oz</t>
  </si>
  <si>
    <t>1/2 Bottle</t>
  </si>
  <si>
    <t>Total Variance (oz)</t>
  </si>
  <si>
    <t>Beer</t>
  </si>
  <si>
    <t>Wine</t>
  </si>
  <si>
    <t>Total</t>
  </si>
  <si>
    <t>Variance</t>
  </si>
  <si>
    <t>Full Bottle Weight</t>
  </si>
  <si>
    <t>DEPOSITS</t>
  </si>
  <si>
    <t>Deposits</t>
  </si>
  <si>
    <t>Year to Date</t>
  </si>
  <si>
    <t>YEAR TO DATE</t>
  </si>
  <si>
    <t>YTD Purchases</t>
  </si>
  <si>
    <t>YTD Sales</t>
  </si>
  <si>
    <t>YTD Deposits</t>
  </si>
  <si>
    <t>Draught</t>
  </si>
  <si>
    <t>Draught Purchases</t>
  </si>
  <si>
    <t>Draught Sales</t>
  </si>
  <si>
    <t>Draught Total Cost $$</t>
  </si>
  <si>
    <t>Draught Total Cost %%</t>
  </si>
  <si>
    <t>Full Weight (kg)</t>
  </si>
  <si>
    <t>Frangelico</t>
  </si>
  <si>
    <t>Sambuca</t>
  </si>
  <si>
    <t>Grey Goose</t>
  </si>
  <si>
    <t>Cointreau</t>
  </si>
  <si>
    <t>5 oz</t>
  </si>
  <si>
    <t>Strong bow</t>
  </si>
  <si>
    <t>Scotch Whiskey</t>
  </si>
  <si>
    <t>Canadian Whiskey</t>
  </si>
  <si>
    <t>Croyal Royal Apple</t>
  </si>
  <si>
    <t>Gibsons</t>
  </si>
  <si>
    <t>Pendleton</t>
  </si>
  <si>
    <t>Burbon Whiskey</t>
  </si>
  <si>
    <t>Makers Mark</t>
  </si>
  <si>
    <t>Woodford Reserve</t>
  </si>
  <si>
    <t>GIN</t>
  </si>
  <si>
    <t>Bombay Sapphire</t>
  </si>
  <si>
    <t>Deaths Door</t>
  </si>
  <si>
    <t>Hendricks</t>
  </si>
  <si>
    <t>Tanquery</t>
  </si>
  <si>
    <t>RUM</t>
  </si>
  <si>
    <t>Appleton Estate</t>
  </si>
  <si>
    <t>Captain Morgan Spiced Rum</t>
  </si>
  <si>
    <t>Lamb's White</t>
  </si>
  <si>
    <t>Tequila</t>
  </si>
  <si>
    <t>Patron Silver</t>
  </si>
  <si>
    <t>Jose Cuervo</t>
  </si>
  <si>
    <t>Vodka</t>
  </si>
  <si>
    <t xml:space="preserve">Absolut </t>
  </si>
  <si>
    <t>Absolut Peach</t>
  </si>
  <si>
    <t>Meadows Vodka</t>
  </si>
  <si>
    <t>Pink Whitney</t>
  </si>
  <si>
    <t>Smirnoff Apple</t>
  </si>
  <si>
    <t>Steam Whistle</t>
  </si>
  <si>
    <t>Coors  Light</t>
  </si>
  <si>
    <t>Molson Canadian</t>
  </si>
  <si>
    <t>Kokanee</t>
  </si>
  <si>
    <t>Budwiser</t>
  </si>
  <si>
    <t>Bud light</t>
  </si>
  <si>
    <t>Keiths</t>
  </si>
  <si>
    <t>Coors Original</t>
  </si>
  <si>
    <t>Michelob</t>
  </si>
  <si>
    <t>Old Milwaukee</t>
  </si>
  <si>
    <t>Med hat Brewco creamsicle</t>
  </si>
  <si>
    <t>Mikes Lemonade</t>
  </si>
  <si>
    <t>Mikes Lime</t>
  </si>
  <si>
    <t>White Claw</t>
  </si>
  <si>
    <t>Okanogan</t>
  </si>
  <si>
    <t>Hard Rootbeer</t>
  </si>
  <si>
    <t>Guiness</t>
  </si>
  <si>
    <t>Blood Orange</t>
  </si>
  <si>
    <t>Coolers, Seltzers</t>
  </si>
  <si>
    <t>JT Pinot Grigio</t>
  </si>
  <si>
    <t>JT Shiraz</t>
  </si>
  <si>
    <t>JT Rose</t>
  </si>
  <si>
    <t>Granville Euro</t>
  </si>
  <si>
    <t>Liquer</t>
  </si>
  <si>
    <t>Bols Melon</t>
  </si>
  <si>
    <t>Bols Banana</t>
  </si>
  <si>
    <t>Bols Brandy</t>
  </si>
  <si>
    <t>Blue Curacao</t>
  </si>
  <si>
    <t>Cherry Whiskey</t>
  </si>
  <si>
    <t>Crème De Cacao</t>
  </si>
  <si>
    <t>Chambord</t>
  </si>
  <si>
    <t>Tia Maria</t>
  </si>
  <si>
    <t>Grand Marnier</t>
  </si>
  <si>
    <t>Rum Chata</t>
  </si>
  <si>
    <t>Lionello Vermouth</t>
  </si>
  <si>
    <t>Malibu</t>
  </si>
  <si>
    <t>Triple Sec</t>
  </si>
  <si>
    <t>Sour Puss Apple</t>
  </si>
  <si>
    <t>Red Sour Puss</t>
  </si>
  <si>
    <t xml:space="preserve">Black Russian </t>
  </si>
  <si>
    <t>Liquer Purchases</t>
  </si>
  <si>
    <t>Liquer Sales</t>
  </si>
  <si>
    <t>Liquer Total Cost $$</t>
  </si>
  <si>
    <t>Liquer Total Cost %%</t>
  </si>
  <si>
    <t>Gentleman Jack 750 ML</t>
  </si>
  <si>
    <t>Jameson 750 ML</t>
  </si>
  <si>
    <t>Black Label 750 ML</t>
  </si>
  <si>
    <t>Dewar's 750 ML</t>
  </si>
  <si>
    <t>Glenfiddich 750 ML</t>
  </si>
  <si>
    <t>The Macallan 750 ML</t>
  </si>
  <si>
    <t>Beefeater 750 ML</t>
  </si>
  <si>
    <t>Captain Morgan Dark Rum</t>
  </si>
  <si>
    <t>Suaza regular</t>
  </si>
  <si>
    <t>Jack Daniels 1.14 l</t>
  </si>
  <si>
    <t>Crown Royal 1.14l</t>
  </si>
  <si>
    <t>JP Wisers 1.14</t>
  </si>
  <si>
    <t>Seagrams VO 1.14</t>
  </si>
  <si>
    <t>Wayne Gretzky 99 1 litre</t>
  </si>
  <si>
    <t>Bacardi white 1.14l</t>
  </si>
  <si>
    <t>Smirnoff vanilla</t>
  </si>
  <si>
    <t>Tito's 1.14l</t>
  </si>
  <si>
    <t>Jose Cuerevo Silver Tequilla</t>
  </si>
  <si>
    <t>Kahlua 1.14</t>
  </si>
  <si>
    <t>Long Island 1.14</t>
  </si>
  <si>
    <t>Alamo</t>
  </si>
  <si>
    <t>Kim Crawford</t>
  </si>
  <si>
    <t>Kim crawford full bottle</t>
  </si>
  <si>
    <t>Sambuca dei cesari</t>
  </si>
  <si>
    <t>JT Sauvignon Blanc</t>
  </si>
  <si>
    <t>JT merlot</t>
  </si>
  <si>
    <t>Woodbridge Sauvignon Blanc</t>
  </si>
  <si>
    <t>Woodbridge Sauvignon Blanc Califronia</t>
  </si>
  <si>
    <t>Bodacious Moscato</t>
  </si>
  <si>
    <t>Jagermiefter</t>
  </si>
  <si>
    <t xml:space="preserve"> JT Merlot 4 Litre</t>
  </si>
  <si>
    <t>JT Chardonnay 4 litre</t>
  </si>
  <si>
    <t>Corona Zero</t>
  </si>
  <si>
    <t>Tito's Vodka 750 ml</t>
  </si>
  <si>
    <t>Root beer Schanpps</t>
  </si>
  <si>
    <t>Disaronno</t>
  </si>
  <si>
    <t>Bailey's</t>
  </si>
  <si>
    <t>Lucky Bastard</t>
  </si>
  <si>
    <t>Gibsons 1.14</t>
  </si>
  <si>
    <t>Bacardi white 1litre</t>
  </si>
  <si>
    <t>19+41.9</t>
  </si>
  <si>
    <t>Captain Morgan Spiced Rum 1.14</t>
  </si>
  <si>
    <t>Long Island 1.14 plastic</t>
  </si>
  <si>
    <t>Malibu 1.14</t>
  </si>
  <si>
    <t>Triple Sec 1.14 plastic</t>
  </si>
  <si>
    <t>Disaronno 1.14</t>
  </si>
  <si>
    <t>Peppermint Schanapps</t>
  </si>
  <si>
    <t>Peach Schnapps</t>
  </si>
  <si>
    <t>Butterripple Schnapps</t>
  </si>
  <si>
    <t>JD Honey</t>
  </si>
  <si>
    <t>JD Fire</t>
  </si>
  <si>
    <t>Southern Comfort</t>
  </si>
  <si>
    <t>Jager 750 ml</t>
  </si>
  <si>
    <t>Bacardi Rum Black 750 ml</t>
  </si>
  <si>
    <t>JT Pinot Grigio 4 Litre</t>
  </si>
  <si>
    <t>Woodbridge 750</t>
  </si>
  <si>
    <t>JT Sauvignon 750</t>
  </si>
  <si>
    <t>Woodbridge Sauvignon 750</t>
  </si>
  <si>
    <t>Sambuca Dei</t>
  </si>
  <si>
    <t>Sambuca Passione</t>
  </si>
  <si>
    <t>JT Merlot 4 litre</t>
  </si>
  <si>
    <t>JT Shiraz 4 Litre</t>
  </si>
  <si>
    <t>Wine o Clock</t>
  </si>
  <si>
    <t>Sawmill Pinot Grigio 750</t>
  </si>
  <si>
    <t>Sawmill Chardonnay 750 ML</t>
  </si>
  <si>
    <t>Sawmill Shiraz 750 ml</t>
  </si>
  <si>
    <t>Sawmill Merlot 750 ml</t>
  </si>
  <si>
    <t>Sawmill Creek Rose</t>
  </si>
  <si>
    <t>Bodacious Moscato 750</t>
  </si>
  <si>
    <t xml:space="preserve">Prosecco </t>
  </si>
  <si>
    <t>Gibsons 750</t>
  </si>
  <si>
    <t>JP Wisers 750</t>
  </si>
  <si>
    <t>Wayne Gretzky 99 750 ML</t>
  </si>
  <si>
    <t>Bacardi Rum Black 750 ml(Glass)</t>
  </si>
  <si>
    <t>Bacardi white 1litre Glass</t>
  </si>
  <si>
    <t>Captain Morgan Spiced Rum 1.14(Glass)</t>
  </si>
  <si>
    <t>Captain Morgan Dark Rum 1.14</t>
  </si>
  <si>
    <t>Lamb's White(1.14)</t>
  </si>
  <si>
    <t>Bailey's 1.14</t>
  </si>
  <si>
    <t>Tia Maria 1.14</t>
  </si>
  <si>
    <t>Beefeater 1.14 litre</t>
  </si>
  <si>
    <t>Bombay Sapphire 1.14 litre</t>
  </si>
  <si>
    <t>Smirnoff Raspberry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</si>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</sst>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_);[Red]\(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10">
    <xf numFmtId="0" fontId="0" fillId="0" borderId="0" xfId="0"/>
    <xf numFmtId="0" fontId="4" fillId="0" borderId="0" xfId="0" applyFont="1"/>
    <xf numFmtId="0" fontId="6" fillId="0" borderId="0" xfId="3" applyProtection="1">
      <protection locked="0"/>
    </xf>
    <xf numFmtId="165" fontId="6" fillId="0" borderId="0" xfId="3" applyNumberFormat="1" applyProtection="1">
      <protection locked="0"/>
    </xf>
    <xf numFmtId="2" fontId="6" fillId="0" borderId="0" xfId="3" applyNumberFormat="1" applyProtection="1">
      <protection locked="0"/>
    </xf>
    <xf numFmtId="2" fontId="7" fillId="0" borderId="0" xfId="3" applyNumberFormat="1" applyFont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164" fontId="8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Protection="1"/>
    <xf numFmtId="0" fontId="9" fillId="0" borderId="13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8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11" fillId="3" borderId="28" xfId="0" applyFont="1" applyFill="1" applyBorder="1"/>
    <xf numFmtId="0" fontId="11" fillId="3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0" fillId="0" borderId="29" xfId="0" applyFont="1" applyBorder="1" applyAlignment="1" applyProtection="1">
      <alignment horizontal="center"/>
      <protection locked="0"/>
    </xf>
    <xf numFmtId="0" fontId="10" fillId="0" borderId="30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1" fillId="2" borderId="8" xfId="0" applyFont="1" applyFill="1" applyBorder="1" applyAlignment="1">
      <alignment horizontal="center"/>
    </xf>
    <xf numFmtId="0" fontId="10" fillId="0" borderId="13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9" fillId="0" borderId="35" xfId="0" applyFont="1" applyBorder="1"/>
    <xf numFmtId="0" fontId="10" fillId="0" borderId="0" xfId="0" applyFont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10" fillId="0" borderId="11" xfId="0" applyFont="1" applyBorder="1" applyProtection="1">
      <protection locked="0"/>
    </xf>
    <xf numFmtId="0" fontId="15" fillId="4" borderId="13" xfId="0" applyFont="1" applyFill="1" applyBorder="1"/>
    <xf numFmtId="2" fontId="15" fillId="4" borderId="13" xfId="0" applyNumberFormat="1" applyFont="1" applyFill="1" applyBorder="1"/>
    <xf numFmtId="164" fontId="15" fillId="4" borderId="13" xfId="1" applyFont="1" applyFill="1" applyBorder="1"/>
    <xf numFmtId="164" fontId="15" fillId="4" borderId="13" xfId="0" applyNumberFormat="1" applyFont="1" applyFill="1" applyBorder="1"/>
    <xf numFmtId="0" fontId="15" fillId="4" borderId="24" xfId="0" applyFont="1" applyFill="1" applyBorder="1"/>
    <xf numFmtId="164" fontId="15" fillId="4" borderId="8" xfId="0" applyNumberFormat="1" applyFont="1" applyFill="1" applyBorder="1"/>
    <xf numFmtId="0" fontId="15" fillId="4" borderId="9" xfId="0" applyFont="1" applyFill="1" applyBorder="1"/>
    <xf numFmtId="0" fontId="15" fillId="4" borderId="33" xfId="0" applyFont="1" applyFill="1" applyBorder="1"/>
    <xf numFmtId="2" fontId="15" fillId="4" borderId="33" xfId="0" applyNumberFormat="1" applyFont="1" applyFill="1" applyBorder="1"/>
    <xf numFmtId="164" fontId="15" fillId="4" borderId="33" xfId="1" applyFont="1" applyFill="1" applyBorder="1"/>
    <xf numFmtId="164" fontId="15" fillId="4" borderId="22" xfId="0" applyNumberFormat="1" applyFont="1" applyFill="1" applyBorder="1"/>
    <xf numFmtId="0" fontId="15" fillId="4" borderId="23" xfId="0" applyFont="1" applyFill="1" applyBorder="1"/>
    <xf numFmtId="0" fontId="15" fillId="7" borderId="12" xfId="0" applyFont="1" applyFill="1" applyBorder="1"/>
    <xf numFmtId="0" fontId="15" fillId="2" borderId="15" xfId="0" applyFont="1" applyFill="1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5" fillId="4" borderId="32" xfId="0" applyFont="1" applyFill="1" applyBorder="1"/>
    <xf numFmtId="0" fontId="11" fillId="4" borderId="38" xfId="0" applyFont="1" applyFill="1" applyBorder="1"/>
    <xf numFmtId="0" fontId="9" fillId="0" borderId="5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25" xfId="0" applyFont="1" applyBorder="1" applyProtection="1"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5" fillId="4" borderId="8" xfId="0" applyFont="1" applyFill="1" applyBorder="1"/>
    <xf numFmtId="2" fontId="15" fillId="4" borderId="8" xfId="0" applyNumberFormat="1" applyFont="1" applyFill="1" applyBorder="1"/>
    <xf numFmtId="164" fontId="15" fillId="4" borderId="8" xfId="1" applyFont="1" applyFill="1" applyBorder="1"/>
    <xf numFmtId="0" fontId="15" fillId="4" borderId="5" xfId="0" applyFont="1" applyFill="1" applyBorder="1"/>
    <xf numFmtId="2" fontId="15" fillId="4" borderId="5" xfId="0" applyNumberFormat="1" applyFont="1" applyFill="1" applyBorder="1"/>
    <xf numFmtId="164" fontId="15" fillId="4" borderId="5" xfId="1" applyFont="1" applyFill="1" applyBorder="1"/>
    <xf numFmtId="164" fontId="15" fillId="4" borderId="5" xfId="0" applyNumberFormat="1" applyFont="1" applyFill="1" applyBorder="1"/>
    <xf numFmtId="0" fontId="15" fillId="4" borderId="6" xfId="0" applyFont="1" applyFill="1" applyBorder="1"/>
    <xf numFmtId="0" fontId="15" fillId="4" borderId="11" xfId="0" applyFont="1" applyFill="1" applyBorder="1"/>
    <xf numFmtId="2" fontId="15" fillId="4" borderId="11" xfId="0" applyNumberFormat="1" applyFont="1" applyFill="1" applyBorder="1"/>
    <xf numFmtId="164" fontId="15" fillId="4" borderId="11" xfId="1" applyFont="1" applyFill="1" applyBorder="1"/>
    <xf numFmtId="164" fontId="15" fillId="4" borderId="11" xfId="0" applyNumberFormat="1" applyFont="1" applyFill="1" applyBorder="1"/>
    <xf numFmtId="0" fontId="15" fillId="4" borderId="25" xfId="0" applyFont="1" applyFill="1" applyBorder="1"/>
    <xf numFmtId="0" fontId="9" fillId="0" borderId="40" xfId="0" applyFont="1" applyBorder="1" applyProtection="1">
      <protection locked="0"/>
    </xf>
    <xf numFmtId="0" fontId="9" fillId="0" borderId="22" xfId="0" applyFont="1" applyBorder="1" applyProtection="1">
      <protection locked="0"/>
    </xf>
    <xf numFmtId="0" fontId="9" fillId="0" borderId="23" xfId="0" applyFont="1" applyBorder="1" applyProtection="1">
      <protection locked="0"/>
    </xf>
    <xf numFmtId="0" fontId="11" fillId="4" borderId="32" xfId="0" applyFont="1" applyFill="1" applyBorder="1" applyAlignment="1">
      <alignment wrapText="1"/>
    </xf>
    <xf numFmtId="0" fontId="16" fillId="0" borderId="8" xfId="0" applyFont="1" applyBorder="1" applyProtection="1"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6" fillId="0" borderId="0" xfId="0" applyFont="1"/>
    <xf numFmtId="164" fontId="16" fillId="0" borderId="0" xfId="0" applyNumberFormat="1" applyFont="1"/>
    <xf numFmtId="0" fontId="5" fillId="6" borderId="16" xfId="0" applyFont="1" applyFill="1" applyBorder="1" applyAlignment="1">
      <alignment horizontal="right"/>
    </xf>
    <xf numFmtId="0" fontId="5" fillId="6" borderId="17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164" fontId="12" fillId="6" borderId="16" xfId="0" applyNumberFormat="1" applyFont="1" applyFill="1" applyBorder="1" applyAlignment="1">
      <alignment horizontal="center"/>
    </xf>
    <xf numFmtId="164" fontId="12" fillId="6" borderId="18" xfId="0" applyNumberFormat="1" applyFont="1" applyFill="1" applyBorder="1" applyAlignment="1">
      <alignment horizontal="center"/>
    </xf>
    <xf numFmtId="164" fontId="12" fillId="0" borderId="16" xfId="0" applyNumberFormat="1" applyFont="1" applyBorder="1" applyAlignment="1" applyProtection="1">
      <alignment horizontal="center"/>
      <protection locked="0"/>
    </xf>
    <xf numFmtId="164" fontId="12" fillId="0" borderId="18" xfId="0" applyNumberFormat="1" applyFont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3" borderId="55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right"/>
    </xf>
    <xf numFmtId="0" fontId="3" fillId="6" borderId="17" xfId="0" applyFont="1" applyFill="1" applyBorder="1" applyAlignment="1">
      <alignment horizontal="right"/>
    </xf>
    <xf numFmtId="0" fontId="3" fillId="6" borderId="18" xfId="0" applyFont="1" applyFill="1" applyBorder="1" applyAlignment="1">
      <alignment horizontal="right"/>
    </xf>
    <xf numFmtId="10" fontId="12" fillId="6" borderId="16" xfId="2" applyNumberFormat="1" applyFont="1" applyFill="1" applyBorder="1" applyAlignment="1">
      <alignment horizontal="center"/>
    </xf>
    <xf numFmtId="10" fontId="12" fillId="6" borderId="18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64" fontId="12" fillId="0" borderId="17" xfId="0" applyNumberFormat="1" applyFont="1" applyBorder="1" applyAlignment="1" applyProtection="1">
      <alignment horizontal="center"/>
      <protection locked="0"/>
    </xf>
    <xf numFmtId="0" fontId="3" fillId="6" borderId="19" xfId="0" applyFont="1" applyFill="1" applyBorder="1" applyAlignment="1">
      <alignment horizontal="right"/>
    </xf>
    <xf numFmtId="0" fontId="3" fillId="6" borderId="20" xfId="0" applyFont="1" applyFill="1" applyBorder="1" applyAlignment="1">
      <alignment horizontal="right"/>
    </xf>
    <xf numFmtId="0" fontId="3" fillId="6" borderId="21" xfId="0" applyFont="1" applyFill="1" applyBorder="1" applyAlignment="1">
      <alignment horizontal="right"/>
    </xf>
    <xf numFmtId="164" fontId="12" fillId="6" borderId="17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6" borderId="16" xfId="0" applyFont="1" applyFill="1" applyBorder="1" applyAlignment="1" applyProtection="1">
      <alignment horizontal="right"/>
      <protection locked="0"/>
    </xf>
    <xf numFmtId="0" fontId="3" fillId="6" borderId="36" xfId="0" applyFont="1" applyFill="1" applyBorder="1" applyAlignment="1" applyProtection="1">
      <alignment horizontal="right"/>
      <protection locked="0"/>
    </xf>
    <xf numFmtId="0" fontId="3" fillId="6" borderId="17" xfId="0" applyFont="1" applyFill="1" applyBorder="1" applyAlignment="1" applyProtection="1">
      <alignment horizontal="right"/>
      <protection locked="0"/>
    </xf>
    <xf numFmtId="0" fontId="3" fillId="6" borderId="37" xfId="0" applyFont="1" applyFill="1" applyBorder="1" applyAlignment="1" applyProtection="1">
      <alignment horizontal="right"/>
      <protection locked="0"/>
    </xf>
    <xf numFmtId="0" fontId="3" fillId="6" borderId="18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11" fillId="2" borderId="42" xfId="0" applyFont="1" applyFill="1" applyBorder="1" applyAlignment="1">
      <alignment horizontal="center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2" borderId="41" xfId="0" applyFont="1" applyFill="1" applyBorder="1" applyAlignment="1" applyProtection="1">
      <alignment horizontal="center"/>
      <protection locked="0"/>
    </xf>
    <xf numFmtId="0" fontId="11" fillId="2" borderId="42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/>
    </xf>
    <xf numFmtId="10" fontId="12" fillId="6" borderId="17" xfId="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1" fillId="2" borderId="54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164" fontId="13" fillId="2" borderId="16" xfId="0" applyNumberFormat="1" applyFont="1" applyFill="1" applyBorder="1" applyAlignment="1">
      <alignment horizontal="center"/>
    </xf>
    <xf numFmtId="164" fontId="13" fillId="2" borderId="18" xfId="0" applyNumberFormat="1" applyFont="1" applyFill="1" applyBorder="1" applyAlignment="1">
      <alignment horizontal="center"/>
    </xf>
    <xf numFmtId="164" fontId="12" fillId="0" borderId="16" xfId="1" applyFont="1" applyBorder="1" applyAlignment="1" applyProtection="1">
      <alignment horizontal="center"/>
      <protection locked="0"/>
    </xf>
    <xf numFmtId="164" fontId="12" fillId="0" borderId="18" xfId="1" applyFont="1" applyBorder="1" applyAlignment="1" applyProtection="1">
      <alignment horizontal="center"/>
      <protection locked="0"/>
    </xf>
    <xf numFmtId="10" fontId="13" fillId="2" borderId="16" xfId="2" applyNumberFormat="1" applyFont="1" applyFill="1" applyBorder="1" applyAlignment="1">
      <alignment horizontal="center"/>
    </xf>
    <xf numFmtId="10" fontId="13" fillId="2" borderId="18" xfId="2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10" fontId="14" fillId="2" borderId="16" xfId="2" applyNumberFormat="1" applyFont="1" applyFill="1" applyBorder="1" applyAlignment="1">
      <alignment horizontal="center"/>
    </xf>
    <xf numFmtId="10" fontId="14" fillId="2" borderId="18" xfId="2" applyNumberFormat="1" applyFont="1" applyFill="1" applyBorder="1" applyAlignment="1">
      <alignment horizontal="center"/>
    </xf>
    <xf numFmtId="0" fontId="15" fillId="2" borderId="51" xfId="0" applyFont="1" applyFill="1" applyBorder="1" applyAlignment="1">
      <alignment horizontal="right" vertical="center"/>
    </xf>
    <xf numFmtId="0" fontId="15" fillId="2" borderId="52" xfId="0" applyFont="1" applyFill="1" applyBorder="1" applyAlignment="1">
      <alignment horizontal="right" vertical="center"/>
    </xf>
    <xf numFmtId="0" fontId="15" fillId="2" borderId="31" xfId="0" applyFont="1" applyFill="1" applyBorder="1" applyAlignment="1">
      <alignment horizontal="right" vertical="center"/>
    </xf>
    <xf numFmtId="0" fontId="15" fillId="2" borderId="39" xfId="0" applyFont="1" applyFill="1" applyBorder="1" applyAlignment="1">
      <alignment horizontal="right" vertical="center"/>
    </xf>
    <xf numFmtId="0" fontId="15" fillId="2" borderId="36" xfId="0" applyFont="1" applyFill="1" applyBorder="1" applyAlignment="1">
      <alignment horizontal="right" vertical="center"/>
    </xf>
    <xf numFmtId="0" fontId="15" fillId="2" borderId="53" xfId="0" applyFont="1" applyFill="1" applyBorder="1" applyAlignment="1">
      <alignment horizontal="right" vertical="center"/>
    </xf>
    <xf numFmtId="0" fontId="15" fillId="5" borderId="23" xfId="0" applyFont="1" applyFill="1" applyBorder="1" applyAlignment="1" applyProtection="1">
      <alignment horizontal="center" vertical="center"/>
      <protection locked="0"/>
    </xf>
    <xf numFmtId="0" fontId="15" fillId="5" borderId="50" xfId="0" applyFont="1" applyFill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/>
      <protection locked="0"/>
    </xf>
    <xf numFmtId="0" fontId="10" fillId="0" borderId="48" xfId="0" applyFont="1" applyBorder="1" applyAlignment="1" applyProtection="1">
      <alignment horizontal="center"/>
      <protection locked="0"/>
    </xf>
    <xf numFmtId="0" fontId="10" fillId="0" borderId="49" xfId="0" applyFont="1" applyBorder="1" applyAlignment="1" applyProtection="1">
      <alignment horizontal="center"/>
      <protection locked="0"/>
    </xf>
    <xf numFmtId="0" fontId="15" fillId="5" borderId="44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0" fontId="15" fillId="5" borderId="46" xfId="0" applyFont="1" applyFill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26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5" fillId="4" borderId="47" xfId="0" applyFont="1" applyFill="1" applyBorder="1" applyAlignment="1">
      <alignment horizontal="right"/>
    </xf>
    <xf numFmtId="0" fontId="15" fillId="4" borderId="48" xfId="0" applyFont="1" applyFill="1" applyBorder="1" applyAlignment="1">
      <alignment horizontal="right"/>
    </xf>
    <xf numFmtId="0" fontId="15" fillId="4" borderId="30" xfId="0" applyFont="1" applyFill="1" applyBorder="1" applyAlignment="1">
      <alignment horizontal="right"/>
    </xf>
    <xf numFmtId="0" fontId="15" fillId="4" borderId="43" xfId="0" applyFont="1" applyFill="1" applyBorder="1" applyAlignment="1">
      <alignment horizontal="right"/>
    </xf>
    <xf numFmtId="0" fontId="15" fillId="4" borderId="41" xfId="0" applyFont="1" applyFill="1" applyBorder="1" applyAlignment="1">
      <alignment horizontal="right"/>
    </xf>
    <xf numFmtId="0" fontId="15" fillId="4" borderId="38" xfId="0" applyFont="1" applyFill="1" applyBorder="1" applyAlignment="1">
      <alignment horizontal="right"/>
    </xf>
    <xf numFmtId="0" fontId="15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8" fillId="0" borderId="0" xfId="1" applyFont="1" applyFill="1" applyBorder="1" applyAlignment="1" applyProtection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_FoodinvWk1" xfId="3" xr:uid="{00000000-0005-0000-0000-000002000000}"/>
    <cellStyle name="Percent" xfId="2" builtinId="5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5D38D-09AE-40A9-BB3B-9E6F788CF651}">
  <dimension ref="A1:R262"/>
  <sheetViews>
    <sheetView tabSelected="1" zoomScale="98" zoomScaleNormal="98" workbookViewId="0">
      <selection sqref="A1:K1"/>
    </sheetView>
  </sheetViews>
  <sheetFormatPr defaultRowHeight="14.5" x14ac:dyDescent="0.35"/>
  <cols>
    <col min="1" max="5" width="5.7265625" customWidth="1"/>
    <col min="6" max="6" width="32" customWidth="1"/>
    <col min="7" max="7" width="10.54296875" customWidth="1"/>
    <col min="8" max="8" width="8.54296875" customWidth="1"/>
    <col min="9" max="9" width="8.7265625" customWidth="1"/>
    <col min="10" max="11" width="10.54296875" customWidth="1"/>
  </cols>
  <sheetData>
    <row r="1" spans="1:18" ht="15" thickBot="1" x14ac:dyDescent="0.4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6"/>
      <c r="R1" s="8"/>
    </row>
    <row r="2" spans="1:18" x14ac:dyDescent="0.35">
      <c r="A2" s="117" t="s">
        <v>0</v>
      </c>
      <c r="B2" s="119" t="s">
        <v>1</v>
      </c>
      <c r="C2" s="119"/>
      <c r="D2" s="119"/>
      <c r="E2" s="119"/>
      <c r="F2" s="94" t="s">
        <v>2</v>
      </c>
      <c r="G2" s="120" t="s">
        <v>3</v>
      </c>
      <c r="H2" s="94" t="s">
        <v>4</v>
      </c>
      <c r="I2" s="94" t="s">
        <v>5</v>
      </c>
      <c r="J2" s="94" t="s">
        <v>6</v>
      </c>
      <c r="K2" s="96" t="s">
        <v>7</v>
      </c>
    </row>
    <row r="3" spans="1:18" x14ac:dyDescent="0.35">
      <c r="A3" s="118"/>
      <c r="B3" s="27">
        <v>1</v>
      </c>
      <c r="C3" s="27">
        <v>2</v>
      </c>
      <c r="D3" s="27">
        <v>3</v>
      </c>
      <c r="E3" s="27">
        <v>4</v>
      </c>
      <c r="F3" s="95"/>
      <c r="G3" s="121"/>
      <c r="H3" s="95"/>
      <c r="I3" s="95"/>
      <c r="J3" s="95"/>
      <c r="K3" s="97"/>
    </row>
    <row r="4" spans="1:18" s="1" customFormat="1" ht="20.149999999999999" customHeight="1" thickBot="1" x14ac:dyDescent="0.6">
      <c r="A4" s="127" t="s">
        <v>8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8" x14ac:dyDescent="0.35">
      <c r="A5" s="28">
        <v>42.5</v>
      </c>
      <c r="B5" s="60"/>
      <c r="C5" s="52"/>
      <c r="D5" s="52"/>
      <c r="E5" s="53"/>
      <c r="F5" s="79" t="s">
        <v>143</v>
      </c>
      <c r="G5" s="35">
        <v>47.35</v>
      </c>
      <c r="H5" s="36">
        <v>35.99</v>
      </c>
      <c r="I5" s="28">
        <f>46.05+39.35</f>
        <v>85.4</v>
      </c>
      <c r="J5" s="37">
        <f>(I5/G5)*H5</f>
        <v>64.911214361140452</v>
      </c>
      <c r="K5" s="38">
        <f>((SUM(A5:E5)/G5)-(I5/G5))*39</f>
        <v>-35.334741288278778</v>
      </c>
    </row>
    <row r="6" spans="1:18" x14ac:dyDescent="0.35">
      <c r="A6" s="17">
        <v>50.4</v>
      </c>
      <c r="B6" s="61"/>
      <c r="C6" s="15"/>
      <c r="D6" s="15"/>
      <c r="E6" s="54"/>
      <c r="F6" s="51" t="s">
        <v>152</v>
      </c>
      <c r="G6" s="35">
        <v>63.4</v>
      </c>
      <c r="H6" s="36">
        <v>33.99</v>
      </c>
      <c r="I6" s="17">
        <v>41.9</v>
      </c>
      <c r="J6" s="37">
        <f t="shared" ref="J6:J54" si="0">(I6/G6)*H6</f>
        <v>22.463422712933756</v>
      </c>
      <c r="K6" s="38">
        <f>((SUM(A6:E6)/G6)-(I6/G6))*26</f>
        <v>3.4858044164037842</v>
      </c>
    </row>
    <row r="7" spans="1:18" x14ac:dyDescent="0.35">
      <c r="A7" s="17">
        <v>30.6</v>
      </c>
      <c r="B7" s="61"/>
      <c r="C7" s="15"/>
      <c r="D7" s="15"/>
      <c r="E7" s="54"/>
      <c r="F7" s="50" t="s">
        <v>144</v>
      </c>
      <c r="G7" s="35">
        <v>43.65</v>
      </c>
      <c r="H7" s="36">
        <v>33.99</v>
      </c>
      <c r="I7" s="17">
        <v>25.9</v>
      </c>
      <c r="J7" s="37">
        <f t="shared" si="0"/>
        <v>20.168178694158076</v>
      </c>
      <c r="K7" s="38">
        <f t="shared" ref="K7:K13" si="1">((SUM(A7:E7)/G7)-(I7/G7))*39</f>
        <v>4.1993127147766351</v>
      </c>
    </row>
    <row r="8" spans="1:18" x14ac:dyDescent="0.35">
      <c r="A8" s="17"/>
      <c r="B8" s="61"/>
      <c r="C8" s="15"/>
      <c r="D8" s="15"/>
      <c r="E8" s="54"/>
      <c r="F8" s="51"/>
      <c r="G8" s="35"/>
      <c r="H8" s="36"/>
      <c r="I8" s="17"/>
      <c r="J8" s="37"/>
      <c r="K8" s="38"/>
    </row>
    <row r="9" spans="1:18" x14ac:dyDescent="0.35">
      <c r="A9" s="135" t="s">
        <v>73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8" x14ac:dyDescent="0.35">
      <c r="A10" s="17">
        <v>20.399999999999999</v>
      </c>
      <c r="B10" s="61"/>
      <c r="C10" s="15"/>
      <c r="D10" s="15"/>
      <c r="E10" s="54"/>
      <c r="F10" s="51" t="s">
        <v>145</v>
      </c>
      <c r="G10" s="35">
        <v>39.200000000000003</v>
      </c>
      <c r="H10" s="36">
        <v>44.99</v>
      </c>
      <c r="I10" s="17">
        <v>38.15</v>
      </c>
      <c r="J10" s="37">
        <f t="shared" si="0"/>
        <v>43.784910714285708</v>
      </c>
      <c r="K10" s="38">
        <f t="shared" si="1"/>
        <v>-17.659438775510203</v>
      </c>
    </row>
    <row r="11" spans="1:18" x14ac:dyDescent="0.35">
      <c r="A11" s="17">
        <v>32.9</v>
      </c>
      <c r="B11" s="61"/>
      <c r="C11" s="15"/>
      <c r="D11" s="15"/>
      <c r="E11" s="54"/>
      <c r="F11" s="51" t="s">
        <v>146</v>
      </c>
      <c r="G11" s="35">
        <v>38.200000000000003</v>
      </c>
      <c r="H11" s="36">
        <v>32.99</v>
      </c>
      <c r="I11" s="17">
        <v>33.299999999999997</v>
      </c>
      <c r="J11" s="37">
        <f t="shared" si="0"/>
        <v>28.758298429319371</v>
      </c>
      <c r="K11" s="38">
        <f t="shared" si="1"/>
        <v>-0.40837696335078577</v>
      </c>
    </row>
    <row r="12" spans="1:18" x14ac:dyDescent="0.35">
      <c r="A12" s="17">
        <v>40.119999999999997</v>
      </c>
      <c r="B12" s="61"/>
      <c r="C12" s="15"/>
      <c r="D12" s="15"/>
      <c r="E12" s="54"/>
      <c r="F12" s="51" t="s">
        <v>147</v>
      </c>
      <c r="G12" s="35">
        <v>44.15</v>
      </c>
      <c r="H12" s="36">
        <v>53.99</v>
      </c>
      <c r="I12" s="17">
        <v>44.2</v>
      </c>
      <c r="J12" s="37">
        <f t="shared" si="0"/>
        <v>54.051143827859576</v>
      </c>
      <c r="K12" s="38">
        <f t="shared" si="1"/>
        <v>-3.604077010192531</v>
      </c>
    </row>
    <row r="13" spans="1:18" x14ac:dyDescent="0.35">
      <c r="A13" s="17">
        <v>30.4</v>
      </c>
      <c r="B13" s="61"/>
      <c r="C13" s="15"/>
      <c r="D13" s="15"/>
      <c r="E13" s="54"/>
      <c r="F13" s="51" t="s">
        <v>148</v>
      </c>
      <c r="G13" s="35">
        <v>47.95</v>
      </c>
      <c r="H13" s="36">
        <v>88.99</v>
      </c>
      <c r="I13" s="17">
        <v>33.15</v>
      </c>
      <c r="J13" s="37">
        <f t="shared" si="0"/>
        <v>61.522805005213755</v>
      </c>
      <c r="K13" s="38">
        <f t="shared" si="1"/>
        <v>-2.236704900938479</v>
      </c>
    </row>
    <row r="14" spans="1:18" x14ac:dyDescent="0.35">
      <c r="A14" s="135" t="s">
        <v>74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7"/>
    </row>
    <row r="15" spans="1:18" x14ac:dyDescent="0.35">
      <c r="A15" s="17">
        <v>50.7</v>
      </c>
      <c r="B15" s="61"/>
      <c r="C15" s="15"/>
      <c r="D15" s="15"/>
      <c r="E15" s="54"/>
      <c r="F15" s="51" t="s">
        <v>153</v>
      </c>
      <c r="G15" s="35">
        <v>35.659999999999997</v>
      </c>
      <c r="H15" s="36">
        <v>30.99</v>
      </c>
      <c r="I15" s="17">
        <v>47.05</v>
      </c>
      <c r="J15" s="37">
        <f t="shared" si="0"/>
        <v>40.888376332024677</v>
      </c>
      <c r="K15" s="38">
        <f>((SUM(A15:E15)/G15)-(I15/G15))*39</f>
        <v>3.9918676388109979</v>
      </c>
    </row>
    <row r="16" spans="1:18" x14ac:dyDescent="0.35">
      <c r="A16" s="17">
        <v>46.98</v>
      </c>
      <c r="B16" s="61"/>
      <c r="C16" s="15"/>
      <c r="D16" s="15"/>
      <c r="E16" s="54"/>
      <c r="F16" s="51" t="s">
        <v>75</v>
      </c>
      <c r="G16" s="35">
        <v>47.25</v>
      </c>
      <c r="H16" s="36">
        <v>30.99</v>
      </c>
      <c r="I16" s="17">
        <v>30.95</v>
      </c>
      <c r="J16" s="37">
        <f t="shared" si="0"/>
        <v>20.299269841269837</v>
      </c>
      <c r="K16" s="38">
        <f>((SUM(A16:E16)/G16)-(I16/G16))*39</f>
        <v>13.231111111111112</v>
      </c>
    </row>
    <row r="17" spans="1:11" x14ac:dyDescent="0.35">
      <c r="A17" s="17">
        <v>33</v>
      </c>
      <c r="B17" s="61"/>
      <c r="C17" s="15"/>
      <c r="D17" s="15"/>
      <c r="E17" s="54"/>
      <c r="F17" s="51" t="s">
        <v>76</v>
      </c>
      <c r="G17" s="35">
        <v>42.75</v>
      </c>
      <c r="H17" s="36">
        <v>27.99</v>
      </c>
      <c r="I17" s="17">
        <v>31.9</v>
      </c>
      <c r="J17" s="37">
        <f t="shared" si="0"/>
        <v>20.886105263157891</v>
      </c>
      <c r="K17" s="38">
        <f>((SUM(A17:E17)/G17)-(I17/G17))*26</f>
        <v>0.66900584795321749</v>
      </c>
    </row>
    <row r="18" spans="1:11" x14ac:dyDescent="0.35">
      <c r="A18" s="17">
        <v>39</v>
      </c>
      <c r="B18" s="61"/>
      <c r="C18" s="15"/>
      <c r="D18" s="15"/>
      <c r="E18" s="54"/>
      <c r="F18" s="51" t="s">
        <v>154</v>
      </c>
      <c r="G18" s="35">
        <v>45</v>
      </c>
      <c r="H18" s="36">
        <v>26.99</v>
      </c>
      <c r="I18" s="17">
        <v>51.7</v>
      </c>
      <c r="J18" s="37">
        <f t="shared" si="0"/>
        <v>31.008511111111108</v>
      </c>
      <c r="K18" s="38">
        <f>((SUM(A18:E18)/G18)-(I18/G18))*26</f>
        <v>-7.3377777777777755</v>
      </c>
    </row>
    <row r="19" spans="1:11" x14ac:dyDescent="0.35">
      <c r="A19" s="17">
        <v>20.7</v>
      </c>
      <c r="B19" s="61"/>
      <c r="C19" s="15"/>
      <c r="D19" s="15"/>
      <c r="E19" s="54"/>
      <c r="F19" s="51" t="s">
        <v>77</v>
      </c>
      <c r="G19" s="35">
        <v>51.1</v>
      </c>
      <c r="H19" s="36">
        <v>36.99</v>
      </c>
      <c r="I19" s="17">
        <v>44.15</v>
      </c>
      <c r="J19" s="37">
        <f t="shared" si="0"/>
        <v>31.959070450097848</v>
      </c>
      <c r="K19" s="38">
        <f t="shared" ref="K19:K26" si="2">((SUM(A19:E19)/G19)-(I19/G19))*39</f>
        <v>-17.897260273972602</v>
      </c>
    </row>
    <row r="20" spans="1:11" x14ac:dyDescent="0.35">
      <c r="A20" s="17">
        <v>45.9</v>
      </c>
      <c r="B20" s="61"/>
      <c r="C20" s="15"/>
      <c r="D20" s="15"/>
      <c r="E20" s="54"/>
      <c r="F20" s="51" t="s">
        <v>155</v>
      </c>
      <c r="G20" s="35">
        <v>59.25</v>
      </c>
      <c r="H20" s="36">
        <v>22.99</v>
      </c>
      <c r="I20" s="17">
        <f>50.25+32.9</f>
        <v>83.15</v>
      </c>
      <c r="J20" s="37">
        <f t="shared" si="0"/>
        <v>32.263603375527424</v>
      </c>
      <c r="K20" s="38">
        <f t="shared" si="2"/>
        <v>-24.518987341772153</v>
      </c>
    </row>
    <row r="21" spans="1:11" x14ac:dyDescent="0.35">
      <c r="A21" s="17">
        <v>51.7</v>
      </c>
      <c r="B21" s="61"/>
      <c r="C21" s="15"/>
      <c r="D21" s="15"/>
      <c r="E21" s="54"/>
      <c r="F21" s="51" t="s">
        <v>156</v>
      </c>
      <c r="G21" s="35">
        <v>53.05</v>
      </c>
      <c r="H21" s="36">
        <v>36.99</v>
      </c>
      <c r="I21" s="17">
        <v>53.7</v>
      </c>
      <c r="J21" s="37">
        <f t="shared" si="0"/>
        <v>37.443223374175318</v>
      </c>
      <c r="K21" s="38">
        <f t="shared" si="2"/>
        <v>-1.4703110273327062</v>
      </c>
    </row>
    <row r="22" spans="1:11" x14ac:dyDescent="0.35">
      <c r="A22" s="138" t="s">
        <v>78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</row>
    <row r="23" spans="1:11" x14ac:dyDescent="0.35">
      <c r="A23" s="17">
        <v>22.7</v>
      </c>
      <c r="B23" s="61"/>
      <c r="C23" s="15"/>
      <c r="D23" s="15"/>
      <c r="E23" s="54"/>
      <c r="F23" s="51" t="s">
        <v>79</v>
      </c>
      <c r="G23" s="35">
        <v>45.95</v>
      </c>
      <c r="H23" s="36">
        <v>39.99</v>
      </c>
      <c r="I23" s="17">
        <f>27.65</f>
        <v>27.65</v>
      </c>
      <c r="J23" s="37">
        <f t="shared" si="0"/>
        <v>24.063623503808486</v>
      </c>
      <c r="K23" s="38">
        <f t="shared" si="2"/>
        <v>-4.2013057671381944</v>
      </c>
    </row>
    <row r="24" spans="1:11" x14ac:dyDescent="0.35">
      <c r="A24" s="17">
        <v>21.9</v>
      </c>
      <c r="B24" s="61"/>
      <c r="C24" s="15"/>
      <c r="D24" s="15"/>
      <c r="E24" s="54"/>
      <c r="F24" s="51" t="s">
        <v>80</v>
      </c>
      <c r="G24" s="35">
        <v>46.1</v>
      </c>
      <c r="H24" s="36">
        <v>46.99</v>
      </c>
      <c r="I24" s="17">
        <f>36.3</f>
        <v>36.299999999999997</v>
      </c>
      <c r="J24" s="37">
        <f t="shared" si="0"/>
        <v>37.000802603036874</v>
      </c>
      <c r="K24" s="38">
        <f t="shared" si="2"/>
        <v>-12.182212581344901</v>
      </c>
    </row>
    <row r="25" spans="1:11" x14ac:dyDescent="0.35">
      <c r="A25" s="138" t="s">
        <v>81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1" x14ac:dyDescent="0.35">
      <c r="A26" s="17">
        <v>35.700000000000003</v>
      </c>
      <c r="B26" s="61"/>
      <c r="C26" s="15"/>
      <c r="D26" s="15"/>
      <c r="E26" s="54"/>
      <c r="F26" s="51" t="s">
        <v>149</v>
      </c>
      <c r="G26" s="35">
        <v>43.6</v>
      </c>
      <c r="H26" s="36">
        <v>23.99</v>
      </c>
      <c r="I26" s="17">
        <v>30.7</v>
      </c>
      <c r="J26" s="37">
        <f t="shared" si="0"/>
        <v>16.892041284403668</v>
      </c>
      <c r="K26" s="38">
        <f t="shared" si="2"/>
        <v>4.472477064220187</v>
      </c>
    </row>
    <row r="27" spans="1:11" x14ac:dyDescent="0.35">
      <c r="A27" s="17">
        <v>49.3</v>
      </c>
      <c r="B27" s="61"/>
      <c r="C27" s="15"/>
      <c r="D27" s="15"/>
      <c r="E27" s="54"/>
      <c r="F27" s="51" t="s">
        <v>82</v>
      </c>
      <c r="G27" s="35">
        <v>66.55</v>
      </c>
      <c r="H27" s="36">
        <v>29.99</v>
      </c>
      <c r="I27" s="17">
        <v>49.6</v>
      </c>
      <c r="J27" s="37">
        <f t="shared" si="0"/>
        <v>22.351675432006012</v>
      </c>
      <c r="K27" s="38">
        <f>((SUM(A27:E27)/G27)-(I27/G27))*26</f>
        <v>-0.11720510894064784</v>
      </c>
    </row>
    <row r="28" spans="1:11" x14ac:dyDescent="0.35">
      <c r="A28" s="17">
        <v>23.6</v>
      </c>
      <c r="B28" s="61"/>
      <c r="C28" s="15"/>
      <c r="D28" s="15"/>
      <c r="E28" s="54"/>
      <c r="F28" s="51" t="s">
        <v>83</v>
      </c>
      <c r="G28" s="35">
        <v>29.99</v>
      </c>
      <c r="H28" s="36">
        <v>26.99</v>
      </c>
      <c r="I28" s="17">
        <v>45.05</v>
      </c>
      <c r="J28" s="37">
        <f t="shared" si="0"/>
        <v>40.543497832610868</v>
      </c>
      <c r="K28" s="38">
        <f>((SUM(A28:E28)/G28)-(I28/G28))*26</f>
        <v>-18.596198732910967</v>
      </c>
    </row>
    <row r="29" spans="1:11" x14ac:dyDescent="0.35">
      <c r="A29" s="17">
        <v>40.5</v>
      </c>
      <c r="B29" s="61"/>
      <c r="C29" s="15"/>
      <c r="D29" s="15"/>
      <c r="E29" s="54"/>
      <c r="F29" s="51" t="s">
        <v>84</v>
      </c>
      <c r="G29" s="35">
        <v>45.1</v>
      </c>
      <c r="H29" s="36">
        <v>49.99</v>
      </c>
      <c r="I29" s="17">
        <v>26.3</v>
      </c>
      <c r="J29" s="37">
        <f t="shared" si="0"/>
        <v>29.15159645232816</v>
      </c>
      <c r="K29" s="38">
        <f>((SUM(A29:E29)/G29)-(I29/G29))*26</f>
        <v>8.1862527716186246</v>
      </c>
    </row>
    <row r="30" spans="1:11" x14ac:dyDescent="0.35">
      <c r="A30" s="17">
        <v>34.200000000000003</v>
      </c>
      <c r="B30" s="61"/>
      <c r="C30" s="15"/>
      <c r="D30" s="15"/>
      <c r="E30" s="54"/>
      <c r="F30" s="51" t="s">
        <v>85</v>
      </c>
      <c r="G30" s="35">
        <v>45.45</v>
      </c>
      <c r="H30" s="36">
        <v>28.99</v>
      </c>
      <c r="I30" s="17">
        <v>27.45</v>
      </c>
      <c r="J30" s="37">
        <f t="shared" si="0"/>
        <v>17.508811881188116</v>
      </c>
      <c r="K30" s="38">
        <f>((SUM(A30:E30)/G30)-(I30/G30))*39</f>
        <v>5.7920792079207928</v>
      </c>
    </row>
    <row r="31" spans="1:11" x14ac:dyDescent="0.35">
      <c r="A31" s="138" t="s">
        <v>86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40"/>
    </row>
    <row r="32" spans="1:11" x14ac:dyDescent="0.35">
      <c r="A32" s="17"/>
      <c r="B32" s="55"/>
      <c r="C32" s="16"/>
      <c r="D32" s="16"/>
      <c r="E32" s="56"/>
      <c r="F32" s="51" t="s">
        <v>87</v>
      </c>
      <c r="G32" s="35">
        <v>44.1</v>
      </c>
      <c r="H32" s="36">
        <v>25.99</v>
      </c>
      <c r="I32" s="17">
        <v>21.6</v>
      </c>
      <c r="J32" s="37">
        <f t="shared" si="0"/>
        <v>12.729795918367348</v>
      </c>
      <c r="K32" s="38">
        <f>((SUM(A32:E32)/G32)-(I32/G32))*26</f>
        <v>-12.734693877551022</v>
      </c>
    </row>
    <row r="33" spans="1:11" x14ac:dyDescent="0.35">
      <c r="A33" s="17"/>
      <c r="B33" s="55"/>
      <c r="C33" s="16"/>
      <c r="D33" s="16"/>
      <c r="E33" s="56"/>
      <c r="F33" s="51" t="s">
        <v>157</v>
      </c>
      <c r="G33" s="35">
        <v>41.65</v>
      </c>
      <c r="H33" s="36">
        <v>23.99</v>
      </c>
      <c r="I33" s="17">
        <v>42.65</v>
      </c>
      <c r="J33" s="37">
        <f t="shared" si="0"/>
        <v>24.565990396158465</v>
      </c>
      <c r="K33" s="38">
        <f>((SUM(A33:E33)/G33)-(I33/G33))*26</f>
        <v>-26.624249699879954</v>
      </c>
    </row>
    <row r="34" spans="1:11" x14ac:dyDescent="0.35">
      <c r="A34" s="17"/>
      <c r="B34" s="55"/>
      <c r="C34" s="16"/>
      <c r="D34" s="16"/>
      <c r="E34" s="56"/>
      <c r="F34" s="51" t="s">
        <v>88</v>
      </c>
      <c r="G34" s="35">
        <v>53.4</v>
      </c>
      <c r="H34" s="36">
        <v>25.99</v>
      </c>
      <c r="I34" s="17">
        <v>11.75</v>
      </c>
      <c r="J34" s="37">
        <f t="shared" si="0"/>
        <v>5.7187734082397004</v>
      </c>
      <c r="K34" s="38">
        <f>((SUM(A34:E34)/G34)-(I34/G34))*26</f>
        <v>-5.7209737827715355</v>
      </c>
    </row>
    <row r="35" spans="1:11" x14ac:dyDescent="0.35">
      <c r="A35" s="17"/>
      <c r="B35" s="55"/>
      <c r="C35" s="16"/>
      <c r="D35" s="16"/>
      <c r="E35" s="56"/>
      <c r="F35" s="51" t="s">
        <v>150</v>
      </c>
      <c r="G35" s="35">
        <v>60.25</v>
      </c>
      <c r="H35" s="36">
        <v>23.99</v>
      </c>
      <c r="I35" s="17">
        <f>45.1+40.8</f>
        <v>85.9</v>
      </c>
      <c r="J35" s="37">
        <f t="shared" si="0"/>
        <v>34.203170124481325</v>
      </c>
      <c r="K35" s="38">
        <f>((SUM(A35:E35)/G35)-(I35/G35))*13</f>
        <v>-18.534439834024898</v>
      </c>
    </row>
    <row r="36" spans="1:11" x14ac:dyDescent="0.35">
      <c r="A36" s="17"/>
      <c r="B36" s="76"/>
      <c r="C36" s="77"/>
      <c r="D36" s="77"/>
      <c r="E36" s="78"/>
      <c r="F36" s="51" t="s">
        <v>89</v>
      </c>
      <c r="G36" s="35">
        <v>59.75</v>
      </c>
      <c r="H36" s="36">
        <v>22.99</v>
      </c>
      <c r="I36" s="17">
        <f>37.6+11.45</f>
        <v>49.05</v>
      </c>
      <c r="J36" s="37">
        <f t="shared" si="0"/>
        <v>18.87296234309623</v>
      </c>
      <c r="K36" s="38">
        <f>((SUM(A36:E36)/G36)-(I36/G36))*39</f>
        <v>-32.015899581589956</v>
      </c>
    </row>
    <row r="37" spans="1:11" x14ac:dyDescent="0.35">
      <c r="A37" s="141" t="s">
        <v>90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3"/>
    </row>
    <row r="38" spans="1:11" x14ac:dyDescent="0.35">
      <c r="A38" s="17"/>
      <c r="B38" s="55"/>
      <c r="C38" s="16"/>
      <c r="D38" s="16"/>
      <c r="E38" s="56"/>
      <c r="F38" s="50" t="s">
        <v>92</v>
      </c>
      <c r="G38" s="35">
        <v>61.95</v>
      </c>
      <c r="H38" s="36">
        <v>34.99</v>
      </c>
      <c r="I38" s="17">
        <v>34.65</v>
      </c>
      <c r="J38" s="37">
        <f t="shared" si="0"/>
        <v>19.570677966101695</v>
      </c>
      <c r="K38" s="38">
        <f t="shared" ref="K38:K54" si="3">((SUM(A38:E38)/G38)-(I38/G38))*39</f>
        <v>-21.813559322033896</v>
      </c>
    </row>
    <row r="39" spans="1:11" x14ac:dyDescent="0.35">
      <c r="A39" s="17"/>
      <c r="B39" s="55"/>
      <c r="C39" s="16"/>
      <c r="D39" s="16"/>
      <c r="E39" s="56"/>
      <c r="F39" s="50" t="s">
        <v>163</v>
      </c>
      <c r="G39" s="35">
        <v>40.5</v>
      </c>
      <c r="H39" s="36">
        <v>39.99</v>
      </c>
      <c r="I39" s="17">
        <v>34.15</v>
      </c>
      <c r="J39" s="37">
        <f t="shared" si="0"/>
        <v>33.719962962962967</v>
      </c>
      <c r="K39" s="38">
        <f t="shared" si="3"/>
        <v>-32.885185185185186</v>
      </c>
    </row>
    <row r="40" spans="1:11" x14ac:dyDescent="0.35">
      <c r="A40" s="17"/>
      <c r="B40" s="55"/>
      <c r="C40" s="16"/>
      <c r="D40" s="16"/>
      <c r="E40" s="56"/>
      <c r="F40" s="50" t="s">
        <v>160</v>
      </c>
      <c r="G40" s="35">
        <v>43.45</v>
      </c>
      <c r="H40" s="36">
        <v>34.99</v>
      </c>
      <c r="I40" s="17">
        <v>38</v>
      </c>
      <c r="J40" s="37">
        <f t="shared" si="0"/>
        <v>30.601150747986189</v>
      </c>
      <c r="K40" s="38">
        <f t="shared" si="3"/>
        <v>-34.108170310701951</v>
      </c>
    </row>
    <row r="41" spans="1:11" x14ac:dyDescent="0.35">
      <c r="A41" s="17"/>
      <c r="B41" s="55"/>
      <c r="C41" s="16"/>
      <c r="D41" s="16"/>
      <c r="E41" s="56"/>
      <c r="F41" s="50" t="s">
        <v>91</v>
      </c>
      <c r="G41" s="35">
        <v>50.85</v>
      </c>
      <c r="H41" s="36">
        <v>59.99</v>
      </c>
      <c r="I41" s="17">
        <f>49.45+50.65</f>
        <v>100.1</v>
      </c>
      <c r="J41" s="37">
        <f t="shared" si="0"/>
        <v>118.09240904621436</v>
      </c>
      <c r="K41" s="38">
        <f t="shared" si="3"/>
        <v>-76.772861356932154</v>
      </c>
    </row>
    <row r="42" spans="1:11" x14ac:dyDescent="0.35">
      <c r="A42" s="17"/>
      <c r="B42" s="55"/>
      <c r="C42" s="16"/>
      <c r="D42" s="16"/>
      <c r="E42" s="56"/>
      <c r="F42" s="50" t="s">
        <v>151</v>
      </c>
      <c r="G42" s="35">
        <v>47.3</v>
      </c>
      <c r="H42" s="36">
        <v>29.99</v>
      </c>
      <c r="I42" s="17">
        <v>23.25</v>
      </c>
      <c r="J42" s="37">
        <f t="shared" si="0"/>
        <v>14.741384778012685</v>
      </c>
      <c r="K42" s="38">
        <f t="shared" si="3"/>
        <v>-19.170190274841438</v>
      </c>
    </row>
    <row r="43" spans="1:11" x14ac:dyDescent="0.35">
      <c r="A43" s="138" t="s">
        <v>93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40"/>
    </row>
    <row r="44" spans="1:11" x14ac:dyDescent="0.35">
      <c r="A44" s="17"/>
      <c r="B44" s="55"/>
      <c r="C44" s="16"/>
      <c r="D44" s="16"/>
      <c r="E44" s="56"/>
      <c r="F44" s="50" t="s">
        <v>94</v>
      </c>
      <c r="G44" s="35">
        <v>43.8</v>
      </c>
      <c r="H44" s="36">
        <v>26.99</v>
      </c>
      <c r="I44" s="17">
        <v>43.3</v>
      </c>
      <c r="J44" s="37">
        <f t="shared" si="0"/>
        <v>26.681894977168948</v>
      </c>
      <c r="K44" s="38">
        <f t="shared" si="3"/>
        <v>-38.554794520547944</v>
      </c>
    </row>
    <row r="45" spans="1:11" x14ac:dyDescent="0.35">
      <c r="A45" s="17"/>
      <c r="B45" s="55"/>
      <c r="C45" s="16"/>
      <c r="D45" s="16"/>
      <c r="E45" s="56"/>
      <c r="F45" s="50" t="s">
        <v>95</v>
      </c>
      <c r="G45" s="35">
        <v>43.8</v>
      </c>
      <c r="H45" s="36">
        <v>28.99</v>
      </c>
      <c r="I45" s="17">
        <v>23.2</v>
      </c>
      <c r="J45" s="37">
        <f t="shared" si="0"/>
        <v>15.355433789954336</v>
      </c>
      <c r="K45" s="38">
        <f t="shared" si="3"/>
        <v>-20.657534246575342</v>
      </c>
    </row>
    <row r="46" spans="1:11" x14ac:dyDescent="0.35">
      <c r="A46" s="17"/>
      <c r="B46" s="55"/>
      <c r="C46" s="16"/>
      <c r="D46" s="16"/>
      <c r="E46" s="56"/>
      <c r="F46" s="50" t="s">
        <v>69</v>
      </c>
      <c r="G46" s="35">
        <v>50.4</v>
      </c>
      <c r="H46" s="36">
        <v>44.99</v>
      </c>
      <c r="I46" s="17">
        <f>34.7+36.6</f>
        <v>71.300000000000011</v>
      </c>
      <c r="J46" s="37">
        <f t="shared" si="0"/>
        <v>63.646567460317478</v>
      </c>
      <c r="K46" s="38">
        <f t="shared" si="3"/>
        <v>-55.172619047619058</v>
      </c>
    </row>
    <row r="47" spans="1:11" x14ac:dyDescent="0.35">
      <c r="A47" s="17"/>
      <c r="B47" s="55"/>
      <c r="C47" s="16"/>
      <c r="D47" s="16"/>
      <c r="E47" s="56"/>
      <c r="F47" s="50" t="s">
        <v>96</v>
      </c>
      <c r="G47" s="35">
        <v>61.3</v>
      </c>
      <c r="H47" s="36">
        <v>20.99</v>
      </c>
      <c r="I47" s="17">
        <f>8.35+40.15</f>
        <v>48.5</v>
      </c>
      <c r="J47" s="37">
        <f t="shared" si="0"/>
        <v>16.607096247960847</v>
      </c>
      <c r="K47" s="38">
        <f t="shared" si="3"/>
        <v>-30.856443719412724</v>
      </c>
    </row>
    <row r="48" spans="1:11" x14ac:dyDescent="0.35">
      <c r="A48" s="17"/>
      <c r="B48" s="55"/>
      <c r="C48" s="16"/>
      <c r="D48" s="16"/>
      <c r="E48" s="56"/>
      <c r="F48" s="50" t="s">
        <v>97</v>
      </c>
      <c r="G48" s="35">
        <v>50.25</v>
      </c>
      <c r="H48" s="36">
        <v>27.99</v>
      </c>
      <c r="I48" s="17">
        <v>43.65</v>
      </c>
      <c r="J48" s="37">
        <f t="shared" si="0"/>
        <v>24.313701492537312</v>
      </c>
      <c r="K48" s="38">
        <f t="shared" si="3"/>
        <v>-33.877611940298507</v>
      </c>
    </row>
    <row r="49" spans="1:11" x14ac:dyDescent="0.35">
      <c r="A49" s="17"/>
      <c r="B49" s="55"/>
      <c r="C49" s="16"/>
      <c r="D49" s="16"/>
      <c r="E49" s="56"/>
      <c r="F49" s="50" t="s">
        <v>98</v>
      </c>
      <c r="G49" s="35">
        <v>42.45</v>
      </c>
      <c r="H49" s="36">
        <v>27.99</v>
      </c>
      <c r="I49" s="17">
        <v>40.1</v>
      </c>
      <c r="J49" s="37">
        <f t="shared" si="0"/>
        <v>26.440494699646639</v>
      </c>
      <c r="K49" s="38">
        <f t="shared" si="3"/>
        <v>-36.840989399293285</v>
      </c>
    </row>
    <row r="50" spans="1:11" x14ac:dyDescent="0.35">
      <c r="A50" s="17"/>
      <c r="B50" s="55"/>
      <c r="C50" s="16"/>
      <c r="D50" s="16"/>
      <c r="E50" s="56"/>
      <c r="F50" s="50" t="s">
        <v>158</v>
      </c>
      <c r="G50" s="35">
        <v>42.45</v>
      </c>
      <c r="H50" s="36">
        <v>27.99</v>
      </c>
      <c r="I50" s="17">
        <v>21.2</v>
      </c>
      <c r="J50" s="37">
        <f t="shared" si="0"/>
        <v>13.978515901060069</v>
      </c>
      <c r="K50" s="38">
        <f t="shared" si="3"/>
        <v>-19.477031802120138</v>
      </c>
    </row>
    <row r="51" spans="1:11" x14ac:dyDescent="0.35">
      <c r="A51" s="17"/>
      <c r="B51" s="55"/>
      <c r="C51" s="16"/>
      <c r="D51" s="16"/>
      <c r="E51" s="56"/>
      <c r="F51" s="50" t="s">
        <v>159</v>
      </c>
      <c r="G51" s="35">
        <v>49.99</v>
      </c>
      <c r="H51" s="36">
        <v>31.99</v>
      </c>
      <c r="I51" s="17">
        <v>26.4</v>
      </c>
      <c r="J51" s="37">
        <f t="shared" si="0"/>
        <v>16.894098819763951</v>
      </c>
      <c r="K51" s="38">
        <f t="shared" si="3"/>
        <v>-20.596119223844767</v>
      </c>
    </row>
    <row r="52" spans="1:11" x14ac:dyDescent="0.35">
      <c r="A52" s="17"/>
      <c r="B52" s="55"/>
      <c r="C52" s="16"/>
      <c r="D52" s="16"/>
      <c r="E52" s="56"/>
      <c r="F52" s="50" t="s">
        <v>176</v>
      </c>
      <c r="G52" s="35">
        <v>39.99</v>
      </c>
      <c r="H52" s="36">
        <v>39.200000000000003</v>
      </c>
      <c r="I52" s="17">
        <v>26.2</v>
      </c>
      <c r="J52" s="37">
        <f t="shared" si="0"/>
        <v>25.68242060515129</v>
      </c>
      <c r="K52" s="38">
        <f t="shared" si="3"/>
        <v>-25.551387846961738</v>
      </c>
    </row>
    <row r="53" spans="1:11" x14ac:dyDescent="0.35">
      <c r="A53" s="17"/>
      <c r="B53" s="55"/>
      <c r="C53" s="16"/>
      <c r="D53" s="16"/>
      <c r="E53" s="56"/>
      <c r="F53" s="50" t="s">
        <v>180</v>
      </c>
      <c r="G53" s="35">
        <v>48.45</v>
      </c>
      <c r="H53" s="36">
        <v>5.5</v>
      </c>
      <c r="I53" s="17">
        <v>43</v>
      </c>
      <c r="J53" s="37">
        <f t="shared" si="0"/>
        <v>4.8813209494324044</v>
      </c>
      <c r="K53" s="38">
        <f t="shared" si="3"/>
        <v>-34.61300309597523</v>
      </c>
    </row>
    <row r="54" spans="1:11" ht="15" thickBot="1" x14ac:dyDescent="0.4">
      <c r="A54" s="17"/>
      <c r="B54" s="57"/>
      <c r="C54" s="58"/>
      <c r="D54" s="58"/>
      <c r="E54" s="59"/>
      <c r="F54" s="50"/>
      <c r="G54" s="35"/>
      <c r="H54" s="36"/>
      <c r="I54" s="17"/>
      <c r="J54" s="37"/>
      <c r="K54" s="38"/>
    </row>
    <row r="55" spans="1:11" ht="20.149999999999999" customHeight="1" thickBot="1" x14ac:dyDescent="0.6">
      <c r="A55" s="130" t="s">
        <v>9</v>
      </c>
      <c r="B55" s="131"/>
      <c r="C55" s="131"/>
      <c r="D55" s="131"/>
      <c r="E55" s="131"/>
      <c r="F55" s="132"/>
      <c r="G55" s="132"/>
      <c r="H55" s="132"/>
      <c r="I55" s="133"/>
      <c r="J55" s="126">
        <v>1713.9906492157534</v>
      </c>
      <c r="K55" s="88"/>
    </row>
    <row r="56" spans="1:11" ht="20.149999999999999" customHeight="1" thickBot="1" x14ac:dyDescent="0.6">
      <c r="A56" s="130" t="s">
        <v>10</v>
      </c>
      <c r="B56" s="132"/>
      <c r="C56" s="132"/>
      <c r="D56" s="132"/>
      <c r="E56" s="132"/>
      <c r="F56" s="132"/>
      <c r="G56" s="132"/>
      <c r="H56" s="132"/>
      <c r="I56" s="134"/>
      <c r="J56" s="122">
        <v>100</v>
      </c>
      <c r="K56" s="90"/>
    </row>
    <row r="57" spans="1:11" ht="20.149999999999999" customHeight="1" thickBot="1" x14ac:dyDescent="0.6">
      <c r="A57" s="130" t="s">
        <v>55</v>
      </c>
      <c r="B57" s="132"/>
      <c r="C57" s="132"/>
      <c r="D57" s="132"/>
      <c r="E57" s="132"/>
      <c r="F57" s="132"/>
      <c r="G57" s="132"/>
      <c r="H57" s="132"/>
      <c r="I57" s="134"/>
      <c r="J57" s="89">
        <v>0</v>
      </c>
      <c r="K57" s="90"/>
    </row>
    <row r="58" spans="1:11" ht="20.149999999999999" customHeight="1" thickBot="1" x14ac:dyDescent="0.6">
      <c r="A58" s="130" t="s">
        <v>11</v>
      </c>
      <c r="B58" s="132"/>
      <c r="C58" s="132"/>
      <c r="D58" s="132"/>
      <c r="E58" s="132"/>
      <c r="F58" s="132"/>
      <c r="G58" s="132"/>
      <c r="H58" s="132"/>
      <c r="I58" s="134"/>
      <c r="J58" s="126">
        <f>SUM(J5:J53)</f>
        <v>1245.2180051162713</v>
      </c>
      <c r="K58" s="88"/>
    </row>
    <row r="59" spans="1:11" ht="20.149999999999999" customHeight="1" thickBot="1" x14ac:dyDescent="0.6">
      <c r="A59" s="109" t="s">
        <v>12</v>
      </c>
      <c r="B59" s="110"/>
      <c r="C59" s="110"/>
      <c r="D59" s="110"/>
      <c r="E59" s="110"/>
      <c r="F59" s="110"/>
      <c r="G59" s="110"/>
      <c r="H59" s="110"/>
      <c r="I59" s="111"/>
      <c r="J59" s="122">
        <v>2054.58</v>
      </c>
      <c r="K59" s="90"/>
    </row>
    <row r="60" spans="1:11" ht="20.149999999999999" customHeight="1" thickBot="1" x14ac:dyDescent="0.6">
      <c r="A60" s="123" t="s">
        <v>13</v>
      </c>
      <c r="B60" s="124"/>
      <c r="C60" s="124"/>
      <c r="D60" s="124"/>
      <c r="E60" s="124"/>
      <c r="F60" s="124"/>
      <c r="G60" s="124"/>
      <c r="H60" s="124"/>
      <c r="I60" s="125"/>
      <c r="J60" s="126">
        <f>J55+J56+J57-J58</f>
        <v>568.77264409948202</v>
      </c>
      <c r="K60" s="88"/>
    </row>
    <row r="61" spans="1:11" ht="20.149999999999999" customHeight="1" thickBot="1" x14ac:dyDescent="0.6">
      <c r="A61" s="109" t="s">
        <v>14</v>
      </c>
      <c r="B61" s="110"/>
      <c r="C61" s="110"/>
      <c r="D61" s="110"/>
      <c r="E61" s="110"/>
      <c r="F61" s="110"/>
      <c r="G61" s="110"/>
      <c r="H61" s="110"/>
      <c r="I61" s="111"/>
      <c r="J61" s="144">
        <f>J60/J59</f>
        <v>0.27683158801286978</v>
      </c>
      <c r="K61" s="113"/>
    </row>
    <row r="62" spans="1:11" ht="20.149999999999999" customHeight="1" thickBot="1" x14ac:dyDescent="0.6">
      <c r="A62" s="109" t="s">
        <v>56</v>
      </c>
      <c r="B62" s="110"/>
      <c r="C62" s="110"/>
      <c r="D62" s="110"/>
      <c r="E62" s="110"/>
      <c r="F62" s="110"/>
      <c r="G62" s="110"/>
      <c r="H62" s="110"/>
      <c r="I62" s="111"/>
      <c r="J62" s="144">
        <f>((F217+F218+F220-J58)/F219)</f>
        <v>0.27683158801286978</v>
      </c>
      <c r="K62" s="113"/>
    </row>
    <row r="63" spans="1:11" x14ac:dyDescent="0.35">
      <c r="A63" s="117" t="s">
        <v>0</v>
      </c>
      <c r="B63" s="119" t="s">
        <v>1</v>
      </c>
      <c r="C63" s="119"/>
      <c r="D63" s="119"/>
      <c r="E63" s="119"/>
      <c r="F63" s="94" t="s">
        <v>2</v>
      </c>
      <c r="G63" s="94" t="s">
        <v>3</v>
      </c>
      <c r="H63" s="94" t="s">
        <v>4</v>
      </c>
      <c r="I63" s="94" t="s">
        <v>5</v>
      </c>
      <c r="J63" s="94" t="s">
        <v>6</v>
      </c>
      <c r="K63" s="96" t="s">
        <v>7</v>
      </c>
    </row>
    <row r="64" spans="1:11" ht="20.149999999999999" customHeight="1" x14ac:dyDescent="0.35">
      <c r="A64" s="118"/>
      <c r="B64" s="27">
        <v>1</v>
      </c>
      <c r="C64" s="27">
        <v>2</v>
      </c>
      <c r="D64" s="27">
        <v>3</v>
      </c>
      <c r="E64" s="27">
        <v>4</v>
      </c>
      <c r="F64" s="95"/>
      <c r="G64" s="95"/>
      <c r="H64" s="95"/>
      <c r="I64" s="95"/>
      <c r="J64" s="95"/>
      <c r="K64" s="97"/>
    </row>
    <row r="65" spans="1:16" ht="24" thickBot="1" x14ac:dyDescent="0.6">
      <c r="A65" s="98" t="s">
        <v>122</v>
      </c>
      <c r="B65" s="99"/>
      <c r="C65" s="99"/>
      <c r="D65" s="99"/>
      <c r="E65" s="99"/>
      <c r="F65" s="99"/>
      <c r="G65" s="99"/>
      <c r="H65" s="99"/>
      <c r="I65" s="99"/>
      <c r="J65" s="100"/>
      <c r="K65" s="101"/>
    </row>
    <row r="66" spans="1:16" x14ac:dyDescent="0.35">
      <c r="A66" s="62">
        <v>20.399999999999999</v>
      </c>
      <c r="B66" s="14"/>
      <c r="C66" s="14"/>
      <c r="D66" s="14"/>
      <c r="E66" s="14"/>
      <c r="F66" s="34" t="s">
        <v>138</v>
      </c>
      <c r="G66" s="35">
        <v>49.4</v>
      </c>
      <c r="H66" s="36">
        <f>'September 2023'!H68</f>
        <v>22.99</v>
      </c>
      <c r="I66" s="28">
        <v>28.75</v>
      </c>
      <c r="J66" s="39">
        <f>I66*H66</f>
        <v>660.96249999999998</v>
      </c>
      <c r="K66" s="40">
        <f>(SUM(A66:E66))-I66</f>
        <v>-8.3500000000000014</v>
      </c>
      <c r="O66" s="49"/>
      <c r="P66" s="49"/>
    </row>
    <row r="67" spans="1:16" x14ac:dyDescent="0.35">
      <c r="A67" s="62"/>
      <c r="B67" s="14"/>
      <c r="C67" s="14"/>
      <c r="D67" s="14"/>
      <c r="E67" s="14"/>
      <c r="F67" s="34" t="s">
        <v>179</v>
      </c>
      <c r="G67" s="35">
        <f>'July 2023'!G68</f>
        <v>69.75</v>
      </c>
      <c r="H67" s="36">
        <f>'September 2023'!H69</f>
        <v>39.99</v>
      </c>
      <c r="I67" s="28">
        <v>70.349999999999994</v>
      </c>
      <c r="J67" s="39"/>
      <c r="K67" s="40"/>
      <c r="O67" s="49"/>
      <c r="P67" s="49"/>
    </row>
    <row r="68" spans="1:16" x14ac:dyDescent="0.35">
      <c r="A68" s="62"/>
      <c r="B68" s="14"/>
      <c r="C68" s="14"/>
      <c r="D68" s="14"/>
      <c r="E68" s="14"/>
      <c r="F68" s="34" t="s">
        <v>126</v>
      </c>
      <c r="G68" s="35">
        <f>'July 2023'!G69</f>
        <v>49.65</v>
      </c>
      <c r="H68" s="36">
        <f>'September 2023'!H70</f>
        <v>24.99</v>
      </c>
      <c r="I68" s="28">
        <v>47.65</v>
      </c>
      <c r="J68" s="39">
        <f t="shared" ref="J68:J89" si="4">I68*H68</f>
        <v>1190.7734999999998</v>
      </c>
      <c r="K68" s="40">
        <f t="shared" ref="K68:K89" si="5">(SUM(A68:E68))-I68</f>
        <v>-47.65</v>
      </c>
      <c r="O68" s="49"/>
      <c r="P68" s="49"/>
    </row>
    <row r="69" spans="1:16" x14ac:dyDescent="0.35">
      <c r="A69" s="62"/>
      <c r="B69" s="14"/>
      <c r="C69" s="14"/>
      <c r="D69" s="14"/>
      <c r="E69" s="14"/>
      <c r="F69" s="34" t="s">
        <v>124</v>
      </c>
      <c r="G69" s="35">
        <f>'July 2023'!G70</f>
        <v>41.9</v>
      </c>
      <c r="H69" s="36">
        <f>'September 2023'!H71</f>
        <v>20.99</v>
      </c>
      <c r="I69" s="28">
        <v>35.049999999999997</v>
      </c>
      <c r="J69" s="39">
        <f t="shared" si="4"/>
        <v>735.69949999999983</v>
      </c>
      <c r="K69" s="40">
        <f t="shared" si="5"/>
        <v>-35.049999999999997</v>
      </c>
      <c r="O69" s="49"/>
      <c r="P69" s="49"/>
    </row>
    <row r="70" spans="1:16" x14ac:dyDescent="0.35">
      <c r="A70" s="62"/>
      <c r="B70" s="14"/>
      <c r="C70" s="14"/>
      <c r="D70" s="14"/>
      <c r="E70" s="14"/>
      <c r="F70" s="34" t="s">
        <v>125</v>
      </c>
      <c r="G70" s="35">
        <f>'July 2023'!G71</f>
        <v>41.9</v>
      </c>
      <c r="H70" s="36">
        <f>'September 2023'!H72</f>
        <v>20.99</v>
      </c>
      <c r="I70" s="28">
        <v>31.6</v>
      </c>
      <c r="J70" s="39">
        <f t="shared" si="4"/>
        <v>663.28399999999999</v>
      </c>
      <c r="K70" s="40">
        <f t="shared" si="5"/>
        <v>-31.6</v>
      </c>
      <c r="O70" s="49"/>
      <c r="P70" s="49"/>
    </row>
    <row r="71" spans="1:16" x14ac:dyDescent="0.35">
      <c r="A71" s="62"/>
      <c r="B71" s="14"/>
      <c r="C71" s="14"/>
      <c r="D71" s="14"/>
      <c r="E71" s="14"/>
      <c r="F71" s="34" t="s">
        <v>123</v>
      </c>
      <c r="G71" s="35">
        <f>'July 2023'!G72</f>
        <v>41.9</v>
      </c>
      <c r="H71" s="36">
        <f>'September 2023'!H73</f>
        <v>21.99</v>
      </c>
      <c r="I71" s="28">
        <v>17.05</v>
      </c>
      <c r="J71" s="39">
        <f t="shared" si="4"/>
        <v>374.92949999999996</v>
      </c>
      <c r="K71" s="40">
        <f t="shared" si="5"/>
        <v>-17.05</v>
      </c>
      <c r="O71" s="49"/>
      <c r="P71" s="49"/>
    </row>
    <row r="72" spans="1:16" x14ac:dyDescent="0.35">
      <c r="A72" s="62"/>
      <c r="B72" s="14"/>
      <c r="C72" s="14"/>
      <c r="D72" s="14"/>
      <c r="E72" s="14"/>
      <c r="F72" s="34" t="s">
        <v>129</v>
      </c>
      <c r="G72" s="35">
        <f>'July 2023'!G73</f>
        <v>0</v>
      </c>
      <c r="H72" s="36">
        <f>'September 2023'!H74</f>
        <v>41.99</v>
      </c>
      <c r="I72" s="28">
        <v>25.5</v>
      </c>
      <c r="J72" s="39">
        <f t="shared" si="4"/>
        <v>1070.7450000000001</v>
      </c>
      <c r="K72" s="40">
        <f t="shared" si="5"/>
        <v>-25.5</v>
      </c>
      <c r="O72" s="49"/>
      <c r="P72" s="49"/>
    </row>
    <row r="73" spans="1:16" x14ac:dyDescent="0.35">
      <c r="A73" s="62"/>
      <c r="B73" s="14"/>
      <c r="C73" s="14"/>
      <c r="D73" s="14"/>
      <c r="E73" s="14"/>
      <c r="F73" s="34" t="s">
        <v>127</v>
      </c>
      <c r="G73" s="35">
        <f>'July 2023'!G74</f>
        <v>49.4</v>
      </c>
      <c r="H73" s="36">
        <f>'September 2023'!H75</f>
        <v>20.99</v>
      </c>
      <c r="I73" s="28">
        <v>25.2</v>
      </c>
      <c r="J73" s="39">
        <f t="shared" si="4"/>
        <v>528.94799999999998</v>
      </c>
      <c r="K73" s="40">
        <f t="shared" si="5"/>
        <v>-25.2</v>
      </c>
      <c r="O73" s="49"/>
      <c r="P73" s="49"/>
    </row>
    <row r="74" spans="1:16" x14ac:dyDescent="0.35">
      <c r="A74" s="62"/>
      <c r="B74" s="14"/>
      <c r="C74" s="14"/>
      <c r="D74" s="14"/>
      <c r="E74" s="14"/>
      <c r="F74" s="34" t="s">
        <v>70</v>
      </c>
      <c r="G74" s="35">
        <f>'July 2023'!G75</f>
        <v>50.65</v>
      </c>
      <c r="H74" s="36">
        <f>'September 2023'!H76</f>
        <v>32.99</v>
      </c>
      <c r="I74" s="28">
        <v>46.82</v>
      </c>
      <c r="J74" s="39">
        <f t="shared" si="4"/>
        <v>1544.5918000000001</v>
      </c>
      <c r="K74" s="40">
        <f t="shared" si="5"/>
        <v>-46.82</v>
      </c>
      <c r="O74" s="49"/>
      <c r="P74" s="49"/>
    </row>
    <row r="75" spans="1:16" x14ac:dyDescent="0.35">
      <c r="A75" s="62"/>
      <c r="B75" s="14"/>
      <c r="C75" s="14"/>
      <c r="D75" s="14"/>
      <c r="E75" s="14"/>
      <c r="F75" s="34" t="s">
        <v>128</v>
      </c>
      <c r="G75" s="35">
        <f>'July 2023'!G76</f>
        <v>50.45</v>
      </c>
      <c r="H75" s="36">
        <f>'September 2023'!H77</f>
        <v>24.99</v>
      </c>
      <c r="I75" s="28">
        <f>22.8+50.3</f>
        <v>73.099999999999994</v>
      </c>
      <c r="J75" s="39">
        <f t="shared" si="4"/>
        <v>1826.7689999999998</v>
      </c>
      <c r="K75" s="40">
        <f t="shared" si="5"/>
        <v>-73.099999999999994</v>
      </c>
      <c r="O75" s="49"/>
      <c r="P75" s="49"/>
    </row>
    <row r="76" spans="1:16" x14ac:dyDescent="0.35">
      <c r="A76" s="62"/>
      <c r="B76" s="14"/>
      <c r="C76" s="14"/>
      <c r="D76" s="14"/>
      <c r="E76" s="14"/>
      <c r="F76" s="34" t="s">
        <v>67</v>
      </c>
      <c r="G76" s="35">
        <f>'July 2023'!G77</f>
        <v>53.7</v>
      </c>
      <c r="H76" s="36">
        <f>'September 2023'!H78</f>
        <v>27.99</v>
      </c>
      <c r="I76" s="28">
        <v>47.15</v>
      </c>
      <c r="J76" s="39">
        <f t="shared" si="4"/>
        <v>1319.7284999999999</v>
      </c>
      <c r="K76" s="40">
        <f t="shared" si="5"/>
        <v>-47.15</v>
      </c>
      <c r="O76" s="49"/>
      <c r="P76" s="49"/>
    </row>
    <row r="77" spans="1:16" x14ac:dyDescent="0.35">
      <c r="A77" s="62"/>
      <c r="B77" s="14"/>
      <c r="C77" s="14"/>
      <c r="D77" s="14"/>
      <c r="E77" s="14"/>
      <c r="F77" s="34" t="s">
        <v>131</v>
      </c>
      <c r="G77" s="35">
        <f>'July 2023'!G78</f>
        <v>49.5</v>
      </c>
      <c r="H77" s="36">
        <f>'September 2023'!H79</f>
        <v>39.99</v>
      </c>
      <c r="I77" s="28">
        <f>32.4+49.5</f>
        <v>81.900000000000006</v>
      </c>
      <c r="J77" s="39">
        <f t="shared" si="4"/>
        <v>3275.1810000000005</v>
      </c>
      <c r="K77" s="40">
        <f t="shared" si="5"/>
        <v>-81.900000000000006</v>
      </c>
      <c r="O77" s="49"/>
      <c r="P77" s="49"/>
    </row>
    <row r="78" spans="1:16" x14ac:dyDescent="0.35">
      <c r="A78" s="62"/>
      <c r="B78" s="14"/>
      <c r="C78" s="14"/>
      <c r="D78" s="14"/>
      <c r="E78" s="14"/>
      <c r="F78" s="34" t="s">
        <v>161</v>
      </c>
      <c r="G78" s="35">
        <f>'July 2023'!G79</f>
        <v>59.45</v>
      </c>
      <c r="H78" s="36">
        <f>'September 2023'!H80</f>
        <v>38.99</v>
      </c>
      <c r="I78" s="28">
        <v>26.5</v>
      </c>
      <c r="J78" s="39">
        <f t="shared" si="4"/>
        <v>1033.2350000000001</v>
      </c>
      <c r="K78" s="40">
        <f t="shared" si="5"/>
        <v>-26.5</v>
      </c>
      <c r="O78" s="49"/>
      <c r="P78" s="49"/>
    </row>
    <row r="79" spans="1:16" x14ac:dyDescent="0.35">
      <c r="A79" s="62"/>
      <c r="B79" s="14"/>
      <c r="C79" s="14"/>
      <c r="D79" s="14"/>
      <c r="E79" s="14"/>
      <c r="F79" s="34" t="s">
        <v>133</v>
      </c>
      <c r="G79" s="35">
        <f>'July 2023'!G80</f>
        <v>54.55</v>
      </c>
      <c r="H79" s="36">
        <f>'September 2023'!H81</f>
        <v>0</v>
      </c>
      <c r="I79" s="28">
        <f>31+54.35</f>
        <v>85.35</v>
      </c>
      <c r="J79" s="39">
        <f t="shared" si="4"/>
        <v>0</v>
      </c>
      <c r="K79" s="40">
        <f t="shared" si="5"/>
        <v>-85.35</v>
      </c>
      <c r="O79" s="49"/>
      <c r="P79" s="49"/>
    </row>
    <row r="80" spans="1:16" x14ac:dyDescent="0.35">
      <c r="A80" s="62"/>
      <c r="B80" s="14"/>
      <c r="C80" s="14"/>
      <c r="D80" s="14"/>
      <c r="E80" s="14"/>
      <c r="F80" s="34" t="s">
        <v>162</v>
      </c>
      <c r="G80" s="35">
        <f>'July 2023'!G81</f>
        <v>41.4</v>
      </c>
      <c r="H80" s="36">
        <f>'September 2023'!H82</f>
        <v>33.99</v>
      </c>
      <c r="I80" s="28">
        <f>12.5+41.55+41.55</f>
        <v>95.6</v>
      </c>
      <c r="J80" s="39">
        <f t="shared" si="4"/>
        <v>3249.444</v>
      </c>
      <c r="K80" s="40">
        <f t="shared" si="5"/>
        <v>-95.6</v>
      </c>
      <c r="O80" s="49"/>
      <c r="P80" s="49"/>
    </row>
    <row r="81" spans="1:16" x14ac:dyDescent="0.35">
      <c r="A81" s="62"/>
      <c r="B81" s="14"/>
      <c r="C81" s="14"/>
      <c r="D81" s="14"/>
      <c r="E81" s="14"/>
      <c r="F81" s="34" t="s">
        <v>134</v>
      </c>
      <c r="G81" s="35">
        <f>'July 2023'!G82</f>
        <v>63.45</v>
      </c>
      <c r="H81" s="36">
        <f>'September 2023'!H83</f>
        <v>36.99</v>
      </c>
      <c r="I81" s="28">
        <v>44.8</v>
      </c>
      <c r="J81" s="39">
        <f t="shared" si="4"/>
        <v>1657.152</v>
      </c>
      <c r="K81" s="40">
        <f t="shared" si="5"/>
        <v>-44.8</v>
      </c>
      <c r="O81" s="49"/>
      <c r="P81" s="49"/>
    </row>
    <row r="82" spans="1:16" x14ac:dyDescent="0.35">
      <c r="A82" s="62"/>
      <c r="B82" s="14"/>
      <c r="C82" s="14"/>
      <c r="D82" s="14"/>
      <c r="E82" s="14"/>
      <c r="F82" s="34" t="s">
        <v>137</v>
      </c>
      <c r="G82" s="35">
        <f>'July 2023'!G83</f>
        <v>48.1</v>
      </c>
      <c r="H82" s="36">
        <f>'September 2023'!H84</f>
        <v>20.99</v>
      </c>
      <c r="I82" s="28">
        <v>38.200000000000003</v>
      </c>
      <c r="J82" s="39">
        <f t="shared" si="4"/>
        <v>801.81799999999998</v>
      </c>
      <c r="K82" s="40">
        <f t="shared" si="5"/>
        <v>-38.200000000000003</v>
      </c>
      <c r="O82" s="49"/>
      <c r="P82" s="49"/>
    </row>
    <row r="83" spans="1:16" x14ac:dyDescent="0.35">
      <c r="A83" s="62"/>
      <c r="B83" s="14"/>
      <c r="C83" s="14"/>
      <c r="D83" s="14"/>
      <c r="E83" s="14"/>
      <c r="F83" s="34" t="s">
        <v>132</v>
      </c>
      <c r="G83" s="35">
        <f>'July 2023'!G84</f>
        <v>50.4</v>
      </c>
      <c r="H83" s="36">
        <f>'September 2023'!H85</f>
        <v>28.99</v>
      </c>
      <c r="I83" s="28">
        <v>30.1</v>
      </c>
      <c r="J83" s="39">
        <f t="shared" si="4"/>
        <v>872.59900000000005</v>
      </c>
      <c r="K83" s="40">
        <f t="shared" si="5"/>
        <v>-30.1</v>
      </c>
      <c r="O83" s="49"/>
      <c r="P83" s="49"/>
    </row>
    <row r="84" spans="1:16" x14ac:dyDescent="0.35">
      <c r="A84" s="62"/>
      <c r="B84" s="14"/>
      <c r="C84" s="14"/>
      <c r="D84" s="14"/>
      <c r="E84" s="14"/>
      <c r="F84" s="34" t="s">
        <v>136</v>
      </c>
      <c r="G84" s="35">
        <f>'July 2023'!G85</f>
        <v>48</v>
      </c>
      <c r="H84" s="36">
        <f>'September 2023'!H86</f>
        <v>20.99</v>
      </c>
      <c r="I84" s="28">
        <v>27.6</v>
      </c>
      <c r="J84" s="39">
        <f t="shared" si="4"/>
        <v>579.32399999999996</v>
      </c>
      <c r="K84" s="40">
        <f t="shared" si="5"/>
        <v>-27.6</v>
      </c>
      <c r="O84" s="49"/>
      <c r="P84" s="49"/>
    </row>
    <row r="85" spans="1:16" x14ac:dyDescent="0.35">
      <c r="A85" s="62"/>
      <c r="B85" s="14"/>
      <c r="C85" s="14"/>
      <c r="D85" s="14"/>
      <c r="E85" s="14"/>
      <c r="F85" s="34" t="s">
        <v>130</v>
      </c>
      <c r="G85" s="35">
        <f>'July 2023'!G86</f>
        <v>0</v>
      </c>
      <c r="H85" s="36">
        <f>'September 2023'!H87</f>
        <v>0</v>
      </c>
      <c r="I85" s="28">
        <v>46.65</v>
      </c>
      <c r="J85" s="39">
        <f t="shared" si="4"/>
        <v>0</v>
      </c>
      <c r="K85" s="40">
        <f t="shared" si="5"/>
        <v>-46.65</v>
      </c>
      <c r="O85" s="49"/>
      <c r="P85" s="49"/>
    </row>
    <row r="86" spans="1:16" x14ac:dyDescent="0.35">
      <c r="A86" s="62"/>
      <c r="B86" s="14"/>
      <c r="C86" s="14"/>
      <c r="D86" s="14"/>
      <c r="E86" s="14"/>
      <c r="F86" s="34" t="s">
        <v>135</v>
      </c>
      <c r="G86" s="35">
        <f>'July 2023'!G87</f>
        <v>0</v>
      </c>
      <c r="H86" s="36">
        <f>'September 2023'!H88</f>
        <v>20.99</v>
      </c>
      <c r="I86" s="28">
        <v>44.95</v>
      </c>
      <c r="J86" s="39">
        <f t="shared" si="4"/>
        <v>943.50049999999999</v>
      </c>
      <c r="K86" s="40">
        <f t="shared" si="5"/>
        <v>-44.95</v>
      </c>
      <c r="O86" s="49"/>
      <c r="P86" s="49"/>
    </row>
    <row r="87" spans="1:16" x14ac:dyDescent="0.35">
      <c r="A87" s="62"/>
      <c r="B87" s="14"/>
      <c r="C87" s="14"/>
      <c r="D87" s="14"/>
      <c r="E87" s="14"/>
      <c r="F87" s="34" t="s">
        <v>177</v>
      </c>
      <c r="G87" s="35">
        <f>'July 2023'!G88</f>
        <v>42.75</v>
      </c>
      <c r="H87" s="36">
        <f>'September 2023'!H89</f>
        <v>22.99</v>
      </c>
      <c r="I87" s="28">
        <v>42.8</v>
      </c>
      <c r="J87" s="39">
        <f t="shared" si="4"/>
        <v>983.97199999999987</v>
      </c>
      <c r="K87" s="40">
        <f t="shared" si="5"/>
        <v>-42.8</v>
      </c>
      <c r="O87" s="49"/>
      <c r="P87" s="49"/>
    </row>
    <row r="88" spans="1:16" x14ac:dyDescent="0.35">
      <c r="A88" s="62"/>
      <c r="B88" s="14"/>
      <c r="C88" s="14"/>
      <c r="D88" s="14"/>
      <c r="E88" s="14"/>
      <c r="F88" s="34" t="s">
        <v>178</v>
      </c>
      <c r="G88" s="35">
        <f>'July 2023'!G89</f>
        <v>42.35</v>
      </c>
      <c r="H88" s="36">
        <f>'September 2023'!H90</f>
        <v>21.99</v>
      </c>
      <c r="I88" s="28">
        <v>32.9</v>
      </c>
      <c r="J88" s="39">
        <f t="shared" si="4"/>
        <v>723.47099999999989</v>
      </c>
      <c r="K88" s="40">
        <f t="shared" si="5"/>
        <v>-32.9</v>
      </c>
      <c r="O88" s="49"/>
      <c r="P88" s="49"/>
    </row>
    <row r="89" spans="1:16" s="82" customFormat="1" ht="15" thickBot="1" x14ac:dyDescent="0.4">
      <c r="A89" s="80"/>
      <c r="B89" s="81"/>
      <c r="C89" s="81"/>
      <c r="D89" s="81"/>
      <c r="E89" s="81"/>
      <c r="F89" s="34"/>
      <c r="G89" s="35">
        <f>'July 2023'!G90</f>
        <v>41.15</v>
      </c>
      <c r="H89" s="36">
        <f>'September 2023'!H91</f>
        <v>21.99</v>
      </c>
      <c r="I89" s="28"/>
      <c r="J89" s="39">
        <f t="shared" si="4"/>
        <v>0</v>
      </c>
      <c r="K89" s="40">
        <f t="shared" si="5"/>
        <v>0</v>
      </c>
      <c r="O89" s="83"/>
      <c r="P89" s="83"/>
    </row>
    <row r="90" spans="1:16" ht="17.25" customHeight="1" thickBot="1" x14ac:dyDescent="0.6">
      <c r="A90" s="84" t="s">
        <v>9</v>
      </c>
      <c r="B90" s="85"/>
      <c r="C90" s="85"/>
      <c r="D90" s="85"/>
      <c r="E90" s="85"/>
      <c r="F90" s="85"/>
      <c r="G90" s="85"/>
      <c r="H90" s="85"/>
      <c r="I90" s="86"/>
      <c r="J90" s="87"/>
      <c r="K90" s="88"/>
      <c r="O90" s="49"/>
      <c r="P90" s="49"/>
    </row>
    <row r="91" spans="1:16" ht="24" thickBot="1" x14ac:dyDescent="0.6">
      <c r="A91" s="84" t="s">
        <v>139</v>
      </c>
      <c r="B91" s="85"/>
      <c r="C91" s="85"/>
      <c r="D91" s="85"/>
      <c r="E91" s="85"/>
      <c r="F91" s="85"/>
      <c r="G91" s="85"/>
      <c r="H91" s="85"/>
      <c r="I91" s="86"/>
      <c r="J91" s="89">
        <v>0</v>
      </c>
      <c r="K91" s="90"/>
    </row>
    <row r="92" spans="1:16" ht="24" thickBot="1" x14ac:dyDescent="0.6">
      <c r="A92" s="84" t="s">
        <v>55</v>
      </c>
      <c r="B92" s="85"/>
      <c r="C92" s="85"/>
      <c r="D92" s="85"/>
      <c r="E92" s="85"/>
      <c r="F92" s="85"/>
      <c r="G92" s="85"/>
      <c r="H92" s="85"/>
      <c r="I92" s="86"/>
      <c r="J92" s="89">
        <v>0</v>
      </c>
      <c r="K92" s="90"/>
    </row>
    <row r="93" spans="1:16" ht="24" thickBot="1" x14ac:dyDescent="0.6">
      <c r="A93" s="84" t="s">
        <v>11</v>
      </c>
      <c r="B93" s="85"/>
      <c r="C93" s="85"/>
      <c r="D93" s="85"/>
      <c r="E93" s="85"/>
      <c r="F93" s="85"/>
      <c r="G93" s="85"/>
      <c r="H93" s="85"/>
      <c r="I93" s="86"/>
      <c r="J93" s="87">
        <f>SUM(J64:J89)</f>
        <v>24036.127799999998</v>
      </c>
      <c r="K93" s="88"/>
    </row>
    <row r="94" spans="1:16" ht="24" thickBot="1" x14ac:dyDescent="0.6">
      <c r="A94" s="84" t="s">
        <v>140</v>
      </c>
      <c r="B94" s="85"/>
      <c r="C94" s="85"/>
      <c r="D94" s="85"/>
      <c r="E94" s="85"/>
      <c r="F94" s="85"/>
      <c r="G94" s="85"/>
      <c r="H94" s="85"/>
      <c r="I94" s="86"/>
      <c r="J94" s="89">
        <v>1739.25</v>
      </c>
      <c r="K94" s="90"/>
      <c r="O94" s="49"/>
      <c r="P94" s="49"/>
    </row>
    <row r="95" spans="1:16" ht="24" thickBot="1" x14ac:dyDescent="0.6">
      <c r="A95" s="84" t="s">
        <v>141</v>
      </c>
      <c r="B95" s="85"/>
      <c r="C95" s="85"/>
      <c r="D95" s="85"/>
      <c r="E95" s="85"/>
      <c r="F95" s="85"/>
      <c r="G95" s="85"/>
      <c r="H95" s="85"/>
      <c r="I95" s="86"/>
      <c r="J95" s="87">
        <f>J90+J91+J92-J93</f>
        <v>-24036.127799999998</v>
      </c>
      <c r="K95" s="88"/>
      <c r="O95" s="49"/>
      <c r="P95" s="49"/>
    </row>
    <row r="96" spans="1:16" ht="24" thickBot="1" x14ac:dyDescent="0.6">
      <c r="A96" s="109" t="s">
        <v>142</v>
      </c>
      <c r="B96" s="110"/>
      <c r="C96" s="110"/>
      <c r="D96" s="110"/>
      <c r="E96" s="110"/>
      <c r="F96" s="110"/>
      <c r="G96" s="110"/>
      <c r="H96" s="110"/>
      <c r="I96" s="111"/>
      <c r="J96" s="112">
        <f>J95/J94</f>
        <v>-13.819823372143164</v>
      </c>
      <c r="K96" s="113"/>
      <c r="O96" s="49"/>
      <c r="P96" s="49"/>
    </row>
    <row r="97" spans="1:16" ht="24" thickBot="1" x14ac:dyDescent="0.6">
      <c r="A97" s="109" t="s">
        <v>56</v>
      </c>
      <c r="B97" s="110"/>
      <c r="C97" s="110"/>
      <c r="D97" s="110"/>
      <c r="E97" s="110"/>
      <c r="F97" s="110"/>
      <c r="G97" s="110"/>
      <c r="H97" s="110"/>
      <c r="I97" s="111"/>
      <c r="J97" s="112" t="e">
        <f>((G180+G181+G183-J93)/G182)</f>
        <v>#REF!</v>
      </c>
      <c r="K97" s="113"/>
      <c r="O97" s="49"/>
      <c r="P97" s="49"/>
    </row>
    <row r="98" spans="1:16" ht="15" thickBot="1" x14ac:dyDescent="0.4">
      <c r="A98" s="62"/>
      <c r="B98" s="15"/>
      <c r="C98" s="15"/>
      <c r="D98" s="15"/>
      <c r="E98" s="15"/>
      <c r="F98" s="34"/>
      <c r="G98" s="35" t="e">
        <f>#REF!</f>
        <v>#REF!</v>
      </c>
      <c r="H98" s="36"/>
      <c r="I98" s="28"/>
      <c r="J98" s="39">
        <f t="shared" ref="J98" si="6">I98*H98</f>
        <v>0</v>
      </c>
      <c r="K98" s="40">
        <f t="shared" ref="K98" si="7">(SUM(A98:E98))-I98</f>
        <v>0</v>
      </c>
      <c r="O98" s="49"/>
      <c r="P98" s="49"/>
    </row>
    <row r="99" spans="1:16" x14ac:dyDescent="0.35">
      <c r="A99" s="145" t="s">
        <v>0</v>
      </c>
      <c r="B99" s="147" t="s">
        <v>1</v>
      </c>
      <c r="C99" s="148"/>
      <c r="D99" s="148"/>
      <c r="E99" s="149"/>
      <c r="F99" s="102" t="s">
        <v>2</v>
      </c>
      <c r="G99" s="102" t="s">
        <v>3</v>
      </c>
      <c r="H99" s="102" t="s">
        <v>4</v>
      </c>
      <c r="I99" s="102" t="s">
        <v>5</v>
      </c>
      <c r="J99" s="102" t="s">
        <v>6</v>
      </c>
      <c r="K99" s="104" t="s">
        <v>7</v>
      </c>
      <c r="O99" s="49"/>
      <c r="P99" s="49"/>
    </row>
    <row r="100" spans="1:16" x14ac:dyDescent="0.35">
      <c r="A100" s="146"/>
      <c r="B100" s="27">
        <v>1</v>
      </c>
      <c r="C100" s="27">
        <v>2</v>
      </c>
      <c r="D100" s="27">
        <v>3</v>
      </c>
      <c r="E100" s="27">
        <v>4</v>
      </c>
      <c r="F100" s="103"/>
      <c r="G100" s="103"/>
      <c r="H100" s="103"/>
      <c r="I100" s="103"/>
      <c r="J100" s="103"/>
      <c r="K100" s="105"/>
      <c r="O100" s="49"/>
      <c r="P100" s="49"/>
    </row>
    <row r="101" spans="1:16" ht="23.5" x14ac:dyDescent="0.55000000000000004">
      <c r="A101" s="106" t="s">
        <v>15</v>
      </c>
      <c r="B101" s="107"/>
      <c r="C101" s="107"/>
      <c r="D101" s="107"/>
      <c r="E101" s="107"/>
      <c r="F101" s="107"/>
      <c r="G101" s="107"/>
      <c r="H101" s="107"/>
      <c r="I101" s="107"/>
      <c r="J101" s="107"/>
      <c r="K101" s="108"/>
      <c r="O101" s="49"/>
      <c r="P101" s="49"/>
    </row>
    <row r="102" spans="1:16" x14ac:dyDescent="0.35">
      <c r="A102" s="62">
        <v>13</v>
      </c>
      <c r="B102" s="14"/>
      <c r="C102" s="14"/>
      <c r="D102" s="14"/>
      <c r="E102" s="14"/>
      <c r="F102" s="34" t="s">
        <v>104</v>
      </c>
      <c r="G102" s="35" t="e">
        <f>#REF!</f>
        <v>#REF!</v>
      </c>
      <c r="H102" s="36">
        <v>2.06</v>
      </c>
      <c r="I102" s="28">
        <f>2+15</f>
        <v>17</v>
      </c>
      <c r="J102" s="39">
        <f>I102*H102</f>
        <v>35.020000000000003</v>
      </c>
      <c r="K102" s="40">
        <f>(SUM(A102:E102))-I102</f>
        <v>-4</v>
      </c>
      <c r="O102" s="49"/>
      <c r="P102" s="49"/>
    </row>
    <row r="103" spans="1:16" x14ac:dyDescent="0.35">
      <c r="A103" s="62">
        <v>15</v>
      </c>
      <c r="B103" s="15"/>
      <c r="C103" s="15"/>
      <c r="D103" s="15"/>
      <c r="E103" s="15"/>
      <c r="F103" s="34" t="s">
        <v>103</v>
      </c>
      <c r="G103" s="35" t="e">
        <f>#REF!</f>
        <v>#REF!</v>
      </c>
      <c r="H103" s="36">
        <v>2.06</v>
      </c>
      <c r="I103" s="17">
        <f>13+13</f>
        <v>26</v>
      </c>
      <c r="J103" s="39">
        <f t="shared" ref="J103:J117" si="8">I103*H103</f>
        <v>53.56</v>
      </c>
      <c r="K103" s="40">
        <f t="shared" ref="K103:K117" si="9">(SUM(A103:E103))-I103</f>
        <v>-11</v>
      </c>
      <c r="O103" s="49"/>
      <c r="P103" s="49"/>
    </row>
    <row r="104" spans="1:16" x14ac:dyDescent="0.35">
      <c r="A104" s="62">
        <v>33</v>
      </c>
      <c r="B104" s="15"/>
      <c r="C104" s="15"/>
      <c r="D104" s="15"/>
      <c r="E104" s="15"/>
      <c r="F104" s="34" t="s">
        <v>100</v>
      </c>
      <c r="G104" s="35" t="e">
        <f>#REF!</f>
        <v>#REF!</v>
      </c>
      <c r="H104" s="36">
        <v>1.82</v>
      </c>
      <c r="I104" s="17">
        <f>10+10</f>
        <v>20</v>
      </c>
      <c r="J104" s="39">
        <f t="shared" si="8"/>
        <v>36.4</v>
      </c>
      <c r="K104" s="40">
        <f t="shared" si="9"/>
        <v>13</v>
      </c>
      <c r="O104" s="49"/>
      <c r="P104" s="49"/>
    </row>
    <row r="105" spans="1:16" x14ac:dyDescent="0.35">
      <c r="A105" s="62">
        <v>26</v>
      </c>
      <c r="B105" s="15"/>
      <c r="C105" s="15"/>
      <c r="D105" s="15"/>
      <c r="E105" s="15"/>
      <c r="F105" s="34" t="s">
        <v>106</v>
      </c>
      <c r="G105" s="35" t="e">
        <f>#REF!</f>
        <v>#REF!</v>
      </c>
      <c r="H105" s="36">
        <v>2.5</v>
      </c>
      <c r="I105" s="17">
        <f>12+8</f>
        <v>20</v>
      </c>
      <c r="J105" s="39">
        <f t="shared" si="8"/>
        <v>50</v>
      </c>
      <c r="K105" s="40">
        <f t="shared" si="9"/>
        <v>6</v>
      </c>
      <c r="O105" s="49"/>
      <c r="P105" s="49"/>
    </row>
    <row r="106" spans="1:16" x14ac:dyDescent="0.35">
      <c r="A106" s="62">
        <v>32</v>
      </c>
      <c r="B106" s="15"/>
      <c r="C106" s="15"/>
      <c r="D106" s="15"/>
      <c r="E106" s="15"/>
      <c r="F106" s="34" t="s">
        <v>175</v>
      </c>
      <c r="G106" s="35"/>
      <c r="H106" s="36">
        <v>2</v>
      </c>
      <c r="I106" s="17">
        <v>24</v>
      </c>
      <c r="J106" s="39"/>
      <c r="K106" s="40"/>
      <c r="O106" s="49"/>
      <c r="P106" s="49"/>
    </row>
    <row r="107" spans="1:16" x14ac:dyDescent="0.35">
      <c r="A107" s="62">
        <v>24</v>
      </c>
      <c r="B107" s="15"/>
      <c r="C107" s="15"/>
      <c r="D107" s="15"/>
      <c r="E107" s="15"/>
      <c r="F107" s="34" t="s">
        <v>16</v>
      </c>
      <c r="G107" s="35" t="e">
        <f>#REF!</f>
        <v>#REF!</v>
      </c>
      <c r="H107" s="36">
        <v>2.2000000000000002</v>
      </c>
      <c r="I107" s="17">
        <f>7+12</f>
        <v>19</v>
      </c>
      <c r="J107" s="39">
        <f t="shared" si="8"/>
        <v>41.800000000000004</v>
      </c>
      <c r="K107" s="40">
        <f t="shared" si="9"/>
        <v>5</v>
      </c>
      <c r="O107" s="49"/>
      <c r="P107" s="49"/>
    </row>
    <row r="108" spans="1:16" x14ac:dyDescent="0.35">
      <c r="A108" s="62">
        <v>26</v>
      </c>
      <c r="B108" s="15"/>
      <c r="C108" s="15"/>
      <c r="D108" s="15"/>
      <c r="E108" s="15"/>
      <c r="F108" s="34" t="s">
        <v>17</v>
      </c>
      <c r="G108" s="35" t="e">
        <f>#REF!</f>
        <v>#REF!</v>
      </c>
      <c r="H108" s="36">
        <v>3</v>
      </c>
      <c r="I108" s="17">
        <f>6+7+6+4</f>
        <v>23</v>
      </c>
      <c r="J108" s="39">
        <f t="shared" si="8"/>
        <v>69</v>
      </c>
      <c r="K108" s="40">
        <f t="shared" si="9"/>
        <v>3</v>
      </c>
      <c r="O108" s="49"/>
      <c r="P108" s="49"/>
    </row>
    <row r="109" spans="1:16" x14ac:dyDescent="0.35">
      <c r="A109" s="62">
        <v>12</v>
      </c>
      <c r="B109" s="15"/>
      <c r="C109" s="15"/>
      <c r="D109" s="15"/>
      <c r="E109" s="15"/>
      <c r="F109" s="34" t="s">
        <v>105</v>
      </c>
      <c r="G109" s="35" t="e">
        <f>#REF!</f>
        <v>#REF!</v>
      </c>
      <c r="H109" s="36">
        <v>2.14</v>
      </c>
      <c r="I109" s="17">
        <f>7+28</f>
        <v>35</v>
      </c>
      <c r="J109" s="39">
        <f t="shared" si="8"/>
        <v>74.900000000000006</v>
      </c>
      <c r="K109" s="40">
        <f t="shared" si="9"/>
        <v>-23</v>
      </c>
      <c r="O109" s="49"/>
      <c r="P109" s="49"/>
    </row>
    <row r="110" spans="1:16" x14ac:dyDescent="0.35">
      <c r="A110" s="62">
        <v>22</v>
      </c>
      <c r="B110" s="15"/>
      <c r="C110" s="15"/>
      <c r="D110" s="15"/>
      <c r="E110" s="15"/>
      <c r="F110" s="34" t="s">
        <v>102</v>
      </c>
      <c r="G110" s="35" t="e">
        <f>#REF!</f>
        <v>#REF!</v>
      </c>
      <c r="H110" s="36">
        <v>2.06</v>
      </c>
      <c r="I110" s="31">
        <f>11+6+12</f>
        <v>29</v>
      </c>
      <c r="J110" s="39">
        <f t="shared" si="8"/>
        <v>59.74</v>
      </c>
      <c r="K110" s="40">
        <f t="shared" si="9"/>
        <v>-7</v>
      </c>
      <c r="O110" s="49"/>
      <c r="P110" s="49"/>
    </row>
    <row r="111" spans="1:16" x14ac:dyDescent="0.35">
      <c r="A111" s="62">
        <v>31</v>
      </c>
      <c r="B111" s="15"/>
      <c r="C111" s="15"/>
      <c r="D111" s="15"/>
      <c r="E111" s="15"/>
      <c r="F111" s="34" t="s">
        <v>44</v>
      </c>
      <c r="G111" s="35" t="e">
        <f>#REF!</f>
        <v>#REF!</v>
      </c>
      <c r="H111" s="36">
        <v>2.08</v>
      </c>
      <c r="I111" s="17">
        <f>12+15</f>
        <v>27</v>
      </c>
      <c r="J111" s="39">
        <f t="shared" si="8"/>
        <v>56.160000000000004</v>
      </c>
      <c r="K111" s="40">
        <f t="shared" si="9"/>
        <v>4</v>
      </c>
      <c r="O111" s="49"/>
      <c r="P111" s="49"/>
    </row>
    <row r="112" spans="1:16" x14ac:dyDescent="0.35">
      <c r="A112" s="62">
        <v>37</v>
      </c>
      <c r="B112" s="15"/>
      <c r="C112" s="15"/>
      <c r="D112" s="15"/>
      <c r="E112" s="15"/>
      <c r="F112" s="34" t="s">
        <v>107</v>
      </c>
      <c r="G112" s="35" t="e">
        <f>#REF!</f>
        <v>#REF!</v>
      </c>
      <c r="H112" s="36">
        <v>2.33</v>
      </c>
      <c r="I112" s="17">
        <f>6+2</f>
        <v>8</v>
      </c>
      <c r="J112" s="39">
        <f t="shared" si="8"/>
        <v>18.64</v>
      </c>
      <c r="K112" s="40">
        <f t="shared" si="9"/>
        <v>29</v>
      </c>
      <c r="O112" s="49"/>
      <c r="P112" s="49"/>
    </row>
    <row r="113" spans="1:16" x14ac:dyDescent="0.35">
      <c r="A113" s="62">
        <v>14</v>
      </c>
      <c r="B113" s="15"/>
      <c r="C113" s="15"/>
      <c r="D113" s="15"/>
      <c r="E113" s="15"/>
      <c r="F113" s="34" t="s">
        <v>101</v>
      </c>
      <c r="G113" s="35" t="e">
        <f>#REF!</f>
        <v>#REF!</v>
      </c>
      <c r="H113" s="36">
        <v>1.82</v>
      </c>
      <c r="I113" s="17">
        <f>11+11</f>
        <v>22</v>
      </c>
      <c r="J113" s="39">
        <f t="shared" si="8"/>
        <v>40.04</v>
      </c>
      <c r="K113" s="40">
        <f t="shared" si="9"/>
        <v>-8</v>
      </c>
      <c r="O113" s="49"/>
      <c r="P113" s="49"/>
    </row>
    <row r="114" spans="1:16" x14ac:dyDescent="0.35">
      <c r="A114" s="62">
        <v>11</v>
      </c>
      <c r="B114" s="15"/>
      <c r="C114" s="15"/>
      <c r="D114" s="15"/>
      <c r="E114" s="15"/>
      <c r="F114" s="34" t="s">
        <v>108</v>
      </c>
      <c r="G114" s="35" t="e">
        <f>#REF!</f>
        <v>#REF!</v>
      </c>
      <c r="H114" s="36">
        <v>1.5</v>
      </c>
      <c r="I114" s="17">
        <v>12</v>
      </c>
      <c r="J114" s="39">
        <f t="shared" si="8"/>
        <v>18</v>
      </c>
      <c r="K114" s="40">
        <f t="shared" si="9"/>
        <v>-1</v>
      </c>
      <c r="O114" s="49"/>
      <c r="P114" s="49"/>
    </row>
    <row r="115" spans="1:16" x14ac:dyDescent="0.35">
      <c r="A115" s="62">
        <v>10</v>
      </c>
      <c r="B115" s="15"/>
      <c r="C115" s="15"/>
      <c r="D115" s="15"/>
      <c r="E115" s="15"/>
      <c r="F115" s="34" t="s">
        <v>18</v>
      </c>
      <c r="G115" s="35" t="e">
        <f>#REF!</f>
        <v>#REF!</v>
      </c>
      <c r="H115" s="36">
        <v>2.1</v>
      </c>
      <c r="I115" s="17">
        <f>7+12</f>
        <v>19</v>
      </c>
      <c r="J115" s="39">
        <f t="shared" si="8"/>
        <v>39.9</v>
      </c>
      <c r="K115" s="40">
        <f t="shared" si="9"/>
        <v>-9</v>
      </c>
      <c r="O115" s="49"/>
      <c r="P115" s="49"/>
    </row>
    <row r="116" spans="1:16" x14ac:dyDescent="0.35">
      <c r="A116" s="62">
        <v>9</v>
      </c>
      <c r="B116" s="15"/>
      <c r="C116" s="15"/>
      <c r="D116" s="15"/>
      <c r="E116" s="15"/>
      <c r="F116" s="34" t="s">
        <v>99</v>
      </c>
      <c r="G116" s="35" t="e">
        <f>#REF!</f>
        <v>#REF!</v>
      </c>
      <c r="H116" s="36">
        <v>2.41</v>
      </c>
      <c r="I116" s="17">
        <f>10</f>
        <v>10</v>
      </c>
      <c r="J116" s="39">
        <f t="shared" si="8"/>
        <v>24.1</v>
      </c>
      <c r="K116" s="40">
        <f t="shared" si="9"/>
        <v>-1</v>
      </c>
      <c r="O116" s="49"/>
      <c r="P116" s="49"/>
    </row>
    <row r="117" spans="1:16" ht="20.149999999999999" customHeight="1" x14ac:dyDescent="0.35">
      <c r="A117" s="62">
        <v>2</v>
      </c>
      <c r="B117" s="15"/>
      <c r="C117" s="15"/>
      <c r="D117" s="15"/>
      <c r="E117" s="15"/>
      <c r="F117" s="34" t="s">
        <v>19</v>
      </c>
      <c r="G117" s="35" t="e">
        <f>#REF!</f>
        <v>#REF!</v>
      </c>
      <c r="H117" s="36">
        <v>2.5499999999999998</v>
      </c>
      <c r="I117" s="17">
        <f>9+12</f>
        <v>21</v>
      </c>
      <c r="J117" s="39">
        <f t="shared" si="8"/>
        <v>53.55</v>
      </c>
      <c r="K117" s="40">
        <f t="shared" si="9"/>
        <v>-19</v>
      </c>
    </row>
    <row r="118" spans="1:16" ht="20.149999999999999" customHeight="1" x14ac:dyDescent="0.35">
      <c r="A118" s="91" t="s">
        <v>117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3"/>
    </row>
    <row r="119" spans="1:16" ht="20.149999999999999" customHeight="1" x14ac:dyDescent="0.35">
      <c r="A119" s="62">
        <v>0</v>
      </c>
      <c r="B119" s="15"/>
      <c r="C119" s="15"/>
      <c r="D119" s="15"/>
      <c r="E119" s="15"/>
      <c r="F119" s="34" t="s">
        <v>116</v>
      </c>
      <c r="G119" s="35" t="e">
        <f>#REF!</f>
        <v>#REF!</v>
      </c>
      <c r="H119" s="36">
        <v>2.7</v>
      </c>
      <c r="I119" s="17"/>
      <c r="J119" s="39">
        <f t="shared" ref="J119:J124" si="10">I119*H119</f>
        <v>0</v>
      </c>
      <c r="K119" s="40">
        <f t="shared" ref="K119:K127" si="11">(SUM(A119:E119))-I119</f>
        <v>0</v>
      </c>
    </row>
    <row r="120" spans="1:16" ht="20.149999999999999" customHeight="1" x14ac:dyDescent="0.35">
      <c r="A120" s="62">
        <v>5</v>
      </c>
      <c r="B120" s="15"/>
      <c r="C120" s="15"/>
      <c r="D120" s="15"/>
      <c r="E120" s="15"/>
      <c r="F120" s="34" t="s">
        <v>115</v>
      </c>
      <c r="G120" s="35" t="e">
        <f>#REF!</f>
        <v>#REF!</v>
      </c>
      <c r="H120" s="36">
        <v>3.12</v>
      </c>
      <c r="I120" s="17">
        <f>2+6</f>
        <v>8</v>
      </c>
      <c r="J120" s="39">
        <f t="shared" si="10"/>
        <v>24.96</v>
      </c>
      <c r="K120" s="40">
        <f t="shared" si="11"/>
        <v>-3</v>
      </c>
    </row>
    <row r="121" spans="1:16" ht="20.149999999999999" customHeight="1" x14ac:dyDescent="0.35">
      <c r="A121" s="62">
        <v>13</v>
      </c>
      <c r="B121" s="15"/>
      <c r="C121" s="15"/>
      <c r="D121" s="15"/>
      <c r="E121" s="15"/>
      <c r="F121" s="34" t="s">
        <v>114</v>
      </c>
      <c r="G121" s="35" t="e">
        <f>#REF!</f>
        <v>#REF!</v>
      </c>
      <c r="H121" s="36">
        <v>2.4900000000000002</v>
      </c>
      <c r="I121" s="17"/>
      <c r="J121" s="39">
        <f t="shared" si="10"/>
        <v>0</v>
      </c>
      <c r="K121" s="40">
        <f t="shared" si="11"/>
        <v>13</v>
      </c>
    </row>
    <row r="122" spans="1:16" ht="20.149999999999999" customHeight="1" x14ac:dyDescent="0.35">
      <c r="A122" s="62">
        <v>5</v>
      </c>
      <c r="B122" s="15"/>
      <c r="C122" s="15"/>
      <c r="D122" s="15"/>
      <c r="E122" s="15"/>
      <c r="F122" s="34" t="s">
        <v>109</v>
      </c>
      <c r="G122" s="35" t="e">
        <f>#REF!</f>
        <v>#REF!</v>
      </c>
      <c r="H122" s="36">
        <v>2.7</v>
      </c>
      <c r="I122" s="17">
        <f>2+6</f>
        <v>8</v>
      </c>
      <c r="J122" s="39">
        <f t="shared" si="10"/>
        <v>21.6</v>
      </c>
      <c r="K122" s="40">
        <f t="shared" si="11"/>
        <v>-3</v>
      </c>
    </row>
    <row r="123" spans="1:16" ht="20.149999999999999" customHeight="1" x14ac:dyDescent="0.35">
      <c r="A123" s="62">
        <v>1</v>
      </c>
      <c r="B123" s="15"/>
      <c r="C123" s="15"/>
      <c r="D123" s="15"/>
      <c r="E123" s="15"/>
      <c r="F123" s="34" t="s">
        <v>110</v>
      </c>
      <c r="G123" s="35" t="e">
        <f>#REF!</f>
        <v>#REF!</v>
      </c>
      <c r="H123" s="36">
        <v>2.7</v>
      </c>
      <c r="I123" s="17">
        <f>9+10</f>
        <v>19</v>
      </c>
      <c r="J123" s="39">
        <f t="shared" si="10"/>
        <v>51.300000000000004</v>
      </c>
      <c r="K123" s="40">
        <f t="shared" si="11"/>
        <v>-18</v>
      </c>
    </row>
    <row r="124" spans="1:16" ht="20.149999999999999" customHeight="1" x14ac:dyDescent="0.35">
      <c r="A124" s="62">
        <v>0</v>
      </c>
      <c r="B124" s="15"/>
      <c r="C124" s="15"/>
      <c r="D124" s="15"/>
      <c r="E124" s="15"/>
      <c r="F124" s="34" t="s">
        <v>111</v>
      </c>
      <c r="G124" s="35" t="e">
        <f>#REF!</f>
        <v>#REF!</v>
      </c>
      <c r="H124" s="36">
        <v>2.7</v>
      </c>
      <c r="I124" s="17">
        <f>1</f>
        <v>1</v>
      </c>
      <c r="J124" s="39">
        <f t="shared" si="10"/>
        <v>2.7</v>
      </c>
      <c r="K124" s="40">
        <f t="shared" si="11"/>
        <v>-1</v>
      </c>
    </row>
    <row r="125" spans="1:16" x14ac:dyDescent="0.35">
      <c r="A125" s="62">
        <v>6</v>
      </c>
      <c r="B125" s="15"/>
      <c r="C125" s="15"/>
      <c r="D125" s="15"/>
      <c r="E125" s="15"/>
      <c r="F125" s="34" t="s">
        <v>113</v>
      </c>
      <c r="G125" s="35" t="e">
        <f>#REF!</f>
        <v>#REF!</v>
      </c>
      <c r="H125" s="36">
        <v>2.33</v>
      </c>
      <c r="I125" s="17">
        <v>30</v>
      </c>
      <c r="J125" s="39">
        <v>0</v>
      </c>
      <c r="K125" s="40">
        <f t="shared" si="11"/>
        <v>-24</v>
      </c>
    </row>
    <row r="126" spans="1:16" ht="20.149999999999999" customHeight="1" x14ac:dyDescent="0.35">
      <c r="A126" s="62">
        <v>8</v>
      </c>
      <c r="B126" s="15"/>
      <c r="C126" s="15"/>
      <c r="D126" s="15"/>
      <c r="E126" s="15"/>
      <c r="F126" s="34" t="s">
        <v>72</v>
      </c>
      <c r="G126" s="35" t="e">
        <f>#REF!</f>
        <v>#REF!</v>
      </c>
      <c r="H126" s="36">
        <v>3.24</v>
      </c>
      <c r="I126" s="17">
        <v>6</v>
      </c>
      <c r="J126" s="39">
        <f>I126*H126</f>
        <v>19.440000000000001</v>
      </c>
      <c r="K126" s="40">
        <f t="shared" si="11"/>
        <v>2</v>
      </c>
    </row>
    <row r="127" spans="1:16" ht="15" thickBot="1" x14ac:dyDescent="0.4">
      <c r="A127" s="62">
        <v>2</v>
      </c>
      <c r="B127" s="18"/>
      <c r="C127" s="18"/>
      <c r="D127" s="18"/>
      <c r="E127" s="18"/>
      <c r="F127" s="41" t="s">
        <v>112</v>
      </c>
      <c r="G127" s="42" t="e">
        <f>#REF!</f>
        <v>#REF!</v>
      </c>
      <c r="H127" s="43">
        <v>2.41</v>
      </c>
      <c r="I127" s="29">
        <v>3</v>
      </c>
      <c r="J127" s="44">
        <f>I127*H127</f>
        <v>7.23</v>
      </c>
      <c r="K127" s="45">
        <f t="shared" si="11"/>
        <v>-1</v>
      </c>
    </row>
    <row r="128" spans="1:16" ht="15" customHeight="1" thickBot="1" x14ac:dyDescent="0.6">
      <c r="A128" s="84" t="s">
        <v>9</v>
      </c>
      <c r="B128" s="85"/>
      <c r="C128" s="85"/>
      <c r="D128" s="85"/>
      <c r="E128" s="85"/>
      <c r="F128" s="85"/>
      <c r="G128" s="85"/>
      <c r="H128" s="85"/>
      <c r="I128" s="86"/>
      <c r="J128" s="87">
        <v>1757.8899999999999</v>
      </c>
      <c r="K128" s="88"/>
    </row>
    <row r="129" spans="1:11" ht="24" thickBot="1" x14ac:dyDescent="0.6">
      <c r="A129" s="84" t="s">
        <v>21</v>
      </c>
      <c r="B129" s="85"/>
      <c r="C129" s="85"/>
      <c r="D129" s="85"/>
      <c r="E129" s="85"/>
      <c r="F129" s="85"/>
      <c r="G129" s="85"/>
      <c r="H129" s="85"/>
      <c r="I129" s="86"/>
      <c r="J129" s="89">
        <v>1300</v>
      </c>
      <c r="K129" s="90"/>
    </row>
    <row r="130" spans="1:11" ht="24" thickBot="1" x14ac:dyDescent="0.6">
      <c r="A130" s="84" t="s">
        <v>55</v>
      </c>
      <c r="B130" s="85"/>
      <c r="C130" s="85"/>
      <c r="D130" s="85"/>
      <c r="E130" s="85"/>
      <c r="F130" s="85"/>
      <c r="G130" s="85"/>
      <c r="H130" s="85"/>
      <c r="I130" s="86"/>
      <c r="J130" s="89">
        <v>0</v>
      </c>
      <c r="K130" s="90"/>
    </row>
    <row r="131" spans="1:11" ht="24" thickBot="1" x14ac:dyDescent="0.6">
      <c r="A131" s="84" t="s">
        <v>11</v>
      </c>
      <c r="B131" s="85"/>
      <c r="C131" s="85"/>
      <c r="D131" s="85"/>
      <c r="E131" s="85"/>
      <c r="F131" s="85"/>
      <c r="G131" s="85"/>
      <c r="H131" s="85"/>
      <c r="I131" s="86"/>
      <c r="J131" s="87">
        <f>SUM(J102:J127)</f>
        <v>798.04000000000019</v>
      </c>
      <c r="K131" s="88"/>
    </row>
    <row r="132" spans="1:11" ht="20.149999999999999" customHeight="1" thickBot="1" x14ac:dyDescent="0.6">
      <c r="A132" s="84" t="s">
        <v>22</v>
      </c>
      <c r="B132" s="85"/>
      <c r="C132" s="85"/>
      <c r="D132" s="85"/>
      <c r="E132" s="85"/>
      <c r="F132" s="85"/>
      <c r="G132" s="85"/>
      <c r="H132" s="85"/>
      <c r="I132" s="86"/>
      <c r="J132" s="89">
        <v>1739.25</v>
      </c>
      <c r="K132" s="90"/>
    </row>
    <row r="133" spans="1:11" ht="20.149999999999999" customHeight="1" thickBot="1" x14ac:dyDescent="0.6">
      <c r="A133" s="84" t="s">
        <v>23</v>
      </c>
      <c r="B133" s="85"/>
      <c r="C133" s="85"/>
      <c r="D133" s="85"/>
      <c r="E133" s="85"/>
      <c r="F133" s="85"/>
      <c r="G133" s="85"/>
      <c r="H133" s="85"/>
      <c r="I133" s="86"/>
      <c r="J133" s="87">
        <f>J128+J129+J130-J131</f>
        <v>2259.8499999999995</v>
      </c>
      <c r="K133" s="88"/>
    </row>
    <row r="134" spans="1:11" ht="20.149999999999999" customHeight="1" thickBot="1" x14ac:dyDescent="0.6">
      <c r="A134" s="109" t="s">
        <v>24</v>
      </c>
      <c r="B134" s="110"/>
      <c r="C134" s="110"/>
      <c r="D134" s="110"/>
      <c r="E134" s="110"/>
      <c r="F134" s="110"/>
      <c r="G134" s="110"/>
      <c r="H134" s="110"/>
      <c r="I134" s="111"/>
      <c r="J134" s="112">
        <f>J133/J132</f>
        <v>1.2993244214460253</v>
      </c>
      <c r="K134" s="113"/>
    </row>
    <row r="135" spans="1:11" ht="20.149999999999999" customHeight="1" thickBot="1" x14ac:dyDescent="0.6">
      <c r="A135" s="109" t="s">
        <v>56</v>
      </c>
      <c r="B135" s="110"/>
      <c r="C135" s="110"/>
      <c r="D135" s="110"/>
      <c r="E135" s="110"/>
      <c r="F135" s="110"/>
      <c r="G135" s="110"/>
      <c r="H135" s="110"/>
      <c r="I135" s="111"/>
      <c r="J135" s="112">
        <f>((G217+G218+G220-J131)/G219)</f>
        <v>1.2993244214460253</v>
      </c>
      <c r="K135" s="113"/>
    </row>
    <row r="136" spans="1:11" ht="20.149999999999999" customHeight="1" x14ac:dyDescent="0.35">
      <c r="A136" s="145" t="s">
        <v>0</v>
      </c>
      <c r="B136" s="147" t="s">
        <v>1</v>
      </c>
      <c r="C136" s="148"/>
      <c r="D136" s="148"/>
      <c r="E136" s="149"/>
      <c r="F136" s="102" t="s">
        <v>2</v>
      </c>
      <c r="G136" s="120" t="s">
        <v>66</v>
      </c>
      <c r="H136" s="102" t="s">
        <v>4</v>
      </c>
      <c r="I136" s="102" t="s">
        <v>5</v>
      </c>
      <c r="J136" s="102" t="s">
        <v>6</v>
      </c>
      <c r="K136" s="104" t="s">
        <v>7</v>
      </c>
    </row>
    <row r="137" spans="1:11" ht="20.149999999999999" customHeight="1" x14ac:dyDescent="0.35">
      <c r="A137" s="146"/>
      <c r="B137" s="27">
        <v>1</v>
      </c>
      <c r="C137" s="27">
        <v>2</v>
      </c>
      <c r="D137" s="27">
        <v>3</v>
      </c>
      <c r="E137" s="27">
        <v>4</v>
      </c>
      <c r="F137" s="103"/>
      <c r="G137" s="121"/>
      <c r="H137" s="103"/>
      <c r="I137" s="103"/>
      <c r="J137" s="103"/>
      <c r="K137" s="105"/>
    </row>
    <row r="138" spans="1:11" ht="20.149999999999999" customHeight="1" x14ac:dyDescent="0.55000000000000004">
      <c r="A138" s="106" t="s">
        <v>61</v>
      </c>
      <c r="B138" s="107"/>
      <c r="C138" s="107"/>
      <c r="D138" s="107"/>
      <c r="E138" s="107"/>
      <c r="F138" s="107"/>
      <c r="G138" s="107"/>
      <c r="H138" s="107"/>
      <c r="I138" s="107"/>
      <c r="J138" s="107"/>
      <c r="K138" s="108"/>
    </row>
    <row r="139" spans="1:11" ht="20.149999999999999" customHeight="1" x14ac:dyDescent="0.35">
      <c r="A139" s="62">
        <v>70</v>
      </c>
      <c r="B139" s="14"/>
      <c r="C139" s="14"/>
      <c r="D139" s="14"/>
      <c r="E139" s="14"/>
      <c r="F139" s="34" t="s">
        <v>121</v>
      </c>
      <c r="G139" s="35">
        <v>60</v>
      </c>
      <c r="H139" s="36">
        <v>190</v>
      </c>
      <c r="I139" s="28">
        <v>50</v>
      </c>
      <c r="J139" s="39">
        <f>(I139/G139)*H139</f>
        <v>158.33333333333334</v>
      </c>
      <c r="K139" s="40">
        <f>(SUM(A139:E139))-I139</f>
        <v>20</v>
      </c>
    </row>
    <row r="140" spans="1:11" x14ac:dyDescent="0.35">
      <c r="A140" s="30">
        <v>20</v>
      </c>
      <c r="B140" s="14"/>
      <c r="C140" s="14"/>
      <c r="D140" s="14"/>
      <c r="E140" s="14"/>
      <c r="F140" s="34" t="s">
        <v>116</v>
      </c>
      <c r="G140" s="35">
        <v>30</v>
      </c>
      <c r="H140" s="36">
        <v>70</v>
      </c>
      <c r="I140" s="28">
        <v>45</v>
      </c>
      <c r="J140" s="39">
        <f>(I140/G140)*H140</f>
        <v>105</v>
      </c>
      <c r="K140" s="40">
        <f>(SUM(A140:E140))-I140</f>
        <v>-25</v>
      </c>
    </row>
    <row r="141" spans="1:11" x14ac:dyDescent="0.35">
      <c r="A141" s="30">
        <v>15</v>
      </c>
      <c r="B141" s="14"/>
      <c r="C141" s="14"/>
      <c r="D141" s="14"/>
      <c r="E141" s="14"/>
      <c r="F141" s="34" t="s">
        <v>20</v>
      </c>
      <c r="G141" s="35">
        <v>60</v>
      </c>
      <c r="H141" s="36">
        <v>190</v>
      </c>
      <c r="I141" s="28">
        <v>39</v>
      </c>
      <c r="J141" s="39">
        <f>(I141/G141)*H141</f>
        <v>123.5</v>
      </c>
      <c r="K141" s="40">
        <f>(SUM(A141:E141))-I141</f>
        <v>-24</v>
      </c>
    </row>
    <row r="142" spans="1:11" ht="15" thickBot="1" x14ac:dyDescent="0.4">
      <c r="A142" s="30"/>
      <c r="B142" s="14"/>
      <c r="C142" s="14"/>
      <c r="D142" s="14"/>
      <c r="E142" s="14"/>
      <c r="F142" s="34" t="e">
        <f>#REF!</f>
        <v>#REF!</v>
      </c>
      <c r="G142" s="35" t="e">
        <f>#REF!</f>
        <v>#REF!</v>
      </c>
      <c r="H142" s="36" t="e">
        <f>#REF!</f>
        <v>#REF!</v>
      </c>
      <c r="I142" s="28"/>
      <c r="J142" s="39" t="e">
        <f>(I142/G142)*H142</f>
        <v>#REF!</v>
      </c>
      <c r="K142" s="40">
        <f>(SUM(A142:E142))-I142</f>
        <v>0</v>
      </c>
    </row>
    <row r="143" spans="1:11" ht="15" customHeight="1" thickBot="1" x14ac:dyDescent="0.6">
      <c r="A143" s="84" t="s">
        <v>9</v>
      </c>
      <c r="B143" s="85"/>
      <c r="C143" s="85"/>
      <c r="D143" s="85"/>
      <c r="E143" s="85"/>
      <c r="F143" s="85"/>
      <c r="G143" s="85"/>
      <c r="H143" s="85"/>
      <c r="I143" s="86"/>
      <c r="J143" s="87">
        <v>436.28818840579714</v>
      </c>
      <c r="K143" s="88"/>
    </row>
    <row r="144" spans="1:11" ht="24" thickBot="1" x14ac:dyDescent="0.6">
      <c r="A144" s="84" t="s">
        <v>62</v>
      </c>
      <c r="B144" s="85"/>
      <c r="C144" s="85"/>
      <c r="D144" s="85"/>
      <c r="E144" s="85"/>
      <c r="F144" s="85"/>
      <c r="G144" s="85"/>
      <c r="H144" s="85"/>
      <c r="I144" s="86"/>
      <c r="J144" s="89">
        <v>0</v>
      </c>
      <c r="K144" s="90"/>
    </row>
    <row r="145" spans="1:11" ht="15" customHeight="1" thickBot="1" x14ac:dyDescent="0.6">
      <c r="A145" s="84" t="s">
        <v>55</v>
      </c>
      <c r="B145" s="85"/>
      <c r="C145" s="85"/>
      <c r="D145" s="85"/>
      <c r="E145" s="85"/>
      <c r="F145" s="85"/>
      <c r="G145" s="85"/>
      <c r="H145" s="85"/>
      <c r="I145" s="86"/>
      <c r="J145" s="89">
        <v>0</v>
      </c>
      <c r="K145" s="90"/>
    </row>
    <row r="146" spans="1:11" ht="24" thickBot="1" x14ac:dyDescent="0.6">
      <c r="A146" s="84" t="s">
        <v>11</v>
      </c>
      <c r="B146" s="85"/>
      <c r="C146" s="85"/>
      <c r="D146" s="85"/>
      <c r="E146" s="85"/>
      <c r="F146" s="85"/>
      <c r="G146" s="85"/>
      <c r="H146" s="85"/>
      <c r="I146" s="86"/>
      <c r="J146" s="87">
        <f>J139+J140+J141</f>
        <v>386.83333333333337</v>
      </c>
      <c r="K146" s="88"/>
    </row>
    <row r="147" spans="1:11" ht="24" thickBot="1" x14ac:dyDescent="0.6">
      <c r="A147" s="84" t="s">
        <v>63</v>
      </c>
      <c r="B147" s="85"/>
      <c r="C147" s="85"/>
      <c r="D147" s="85"/>
      <c r="E147" s="85"/>
      <c r="F147" s="85"/>
      <c r="G147" s="85"/>
      <c r="H147" s="85"/>
      <c r="I147" s="86"/>
      <c r="J147" s="89">
        <v>599.5</v>
      </c>
      <c r="K147" s="90"/>
    </row>
    <row r="148" spans="1:11" ht="24" thickBot="1" x14ac:dyDescent="0.6">
      <c r="A148" s="84" t="s">
        <v>64</v>
      </c>
      <c r="B148" s="85"/>
      <c r="C148" s="85"/>
      <c r="D148" s="85"/>
      <c r="E148" s="85"/>
      <c r="F148" s="85"/>
      <c r="G148" s="85"/>
      <c r="H148" s="85"/>
      <c r="I148" s="86"/>
      <c r="J148" s="87">
        <f>J143+J144+J145-J146</f>
        <v>49.454855072463772</v>
      </c>
      <c r="K148" s="88"/>
    </row>
    <row r="149" spans="1:11" ht="24" thickBot="1" x14ac:dyDescent="0.6">
      <c r="A149" s="109" t="s">
        <v>65</v>
      </c>
      <c r="B149" s="110"/>
      <c r="C149" s="110"/>
      <c r="D149" s="110"/>
      <c r="E149" s="110"/>
      <c r="F149" s="110"/>
      <c r="G149" s="110"/>
      <c r="H149" s="110"/>
      <c r="I149" s="111"/>
      <c r="J149" s="112">
        <f>J148/J147</f>
        <v>8.2493503039972937E-2</v>
      </c>
      <c r="K149" s="113"/>
    </row>
    <row r="150" spans="1:11" ht="24" thickBot="1" x14ac:dyDescent="0.6">
      <c r="A150" s="109" t="s">
        <v>56</v>
      </c>
      <c r="B150" s="110"/>
      <c r="C150" s="110"/>
      <c r="D150" s="110"/>
      <c r="E150" s="110"/>
      <c r="F150" s="110"/>
      <c r="G150" s="110"/>
      <c r="H150" s="110"/>
      <c r="I150" s="111"/>
      <c r="J150" s="112">
        <f>((G217+G218+G220-J131)/G219)</f>
        <v>1.2993244214460253</v>
      </c>
      <c r="K150" s="113"/>
    </row>
    <row r="151" spans="1:11" x14ac:dyDescent="0.35">
      <c r="A151" s="145" t="s">
        <v>0</v>
      </c>
      <c r="B151" s="147" t="s">
        <v>1</v>
      </c>
      <c r="C151" s="148"/>
      <c r="D151" s="148"/>
      <c r="E151" s="149"/>
      <c r="F151" s="102" t="s">
        <v>2</v>
      </c>
      <c r="G151" s="120" t="s">
        <v>53</v>
      </c>
      <c r="H151" s="102" t="s">
        <v>4</v>
      </c>
      <c r="I151" s="102" t="s">
        <v>5</v>
      </c>
      <c r="J151" s="102" t="s">
        <v>6</v>
      </c>
      <c r="K151" s="104" t="s">
        <v>7</v>
      </c>
    </row>
    <row r="152" spans="1:11" ht="15" thickBot="1" x14ac:dyDescent="0.4">
      <c r="A152" s="158"/>
      <c r="B152" s="27">
        <v>1</v>
      </c>
      <c r="C152" s="27">
        <v>2</v>
      </c>
      <c r="D152" s="27">
        <v>3</v>
      </c>
      <c r="E152" s="27">
        <v>4</v>
      </c>
      <c r="F152" s="150"/>
      <c r="G152" s="159"/>
      <c r="H152" s="150"/>
      <c r="I152" s="150"/>
      <c r="J152" s="150"/>
      <c r="K152" s="151"/>
    </row>
    <row r="153" spans="1:11" ht="24" thickBot="1" x14ac:dyDescent="0.6">
      <c r="A153" s="152" t="s">
        <v>25</v>
      </c>
      <c r="B153" s="153"/>
      <c r="C153" s="153"/>
      <c r="D153" s="153"/>
      <c r="E153" s="153"/>
      <c r="F153" s="153"/>
      <c r="G153" s="153"/>
      <c r="H153" s="153"/>
      <c r="I153" s="153"/>
      <c r="J153" s="153"/>
      <c r="K153" s="154"/>
    </row>
    <row r="154" spans="1:11" x14ac:dyDescent="0.35">
      <c r="A154" s="17"/>
      <c r="B154" s="14"/>
      <c r="C154" s="14"/>
      <c r="D154" s="14"/>
      <c r="E154" s="14"/>
      <c r="F154" s="34" t="s">
        <v>174</v>
      </c>
      <c r="G154" s="35" t="e">
        <f>#REF!</f>
        <v>#REF!</v>
      </c>
      <c r="H154" s="36"/>
      <c r="I154" s="28">
        <v>0.3</v>
      </c>
      <c r="J154" s="37" t="e">
        <f>IF(G154=0,0,(I154/G154)*H154)</f>
        <v>#REF!</v>
      </c>
      <c r="K154" s="38" t="e">
        <f>IF(G154=0,0,(((SUM(A154:E154)/G154)-(I154/G154))*26))</f>
        <v>#REF!</v>
      </c>
    </row>
    <row r="155" spans="1:11" x14ac:dyDescent="0.35">
      <c r="A155" s="17"/>
      <c r="B155" s="15"/>
      <c r="C155" s="15"/>
      <c r="D155" s="15"/>
      <c r="E155" s="15"/>
      <c r="F155" s="34" t="s">
        <v>118</v>
      </c>
      <c r="G155" s="35" t="e">
        <f>#REF!</f>
        <v>#REF!</v>
      </c>
      <c r="H155" s="36"/>
      <c r="I155" s="17">
        <v>0.2</v>
      </c>
      <c r="J155" s="37" t="e">
        <f t="shared" ref="J155:J172" si="12">IF(G155=0,0,(I155/G155)*H155)</f>
        <v>#REF!</v>
      </c>
      <c r="K155" s="38" t="e">
        <f>IF(G155=0,0,(((SUM(A155:E155)/G155)-(I155/G155))*52))</f>
        <v>#REF!</v>
      </c>
    </row>
    <row r="156" spans="1:11" x14ac:dyDescent="0.35">
      <c r="A156" s="17"/>
      <c r="B156" s="15"/>
      <c r="C156" s="15"/>
      <c r="D156" s="15"/>
      <c r="E156" s="15"/>
      <c r="F156" s="34" t="s">
        <v>167</v>
      </c>
      <c r="G156" s="35" t="e">
        <f>#REF!</f>
        <v>#REF!</v>
      </c>
      <c r="H156" s="36"/>
      <c r="I156" s="17">
        <v>1</v>
      </c>
      <c r="J156" s="37" t="e">
        <f t="shared" si="12"/>
        <v>#REF!</v>
      </c>
      <c r="K156" s="38" t="e">
        <f t="shared" ref="K156:K162" si="13">IF(G156=0,0,(((SUM(A156:E156)/G156)-(I156/G156))*26))</f>
        <v>#REF!</v>
      </c>
    </row>
    <row r="157" spans="1:11" x14ac:dyDescent="0.35">
      <c r="A157" s="17"/>
      <c r="B157" s="15"/>
      <c r="C157" s="15"/>
      <c r="D157" s="15"/>
      <c r="E157" s="15"/>
      <c r="F157" s="34"/>
      <c r="G157" s="35" t="e">
        <f>#REF!</f>
        <v>#REF!</v>
      </c>
      <c r="H157" s="36"/>
      <c r="I157" s="17"/>
      <c r="J157" s="37" t="e">
        <f t="shared" si="12"/>
        <v>#REF!</v>
      </c>
      <c r="K157" s="38" t="e">
        <f>IF(G157=0,0,(((SUM(A157:E157)/G157)-(I157/G157))*52))</f>
        <v>#REF!</v>
      </c>
    </row>
    <row r="158" spans="1:11" x14ac:dyDescent="0.35">
      <c r="A158" s="29"/>
      <c r="B158" s="18"/>
      <c r="C158" s="18"/>
      <c r="D158" s="18"/>
      <c r="E158" s="18"/>
      <c r="F158" s="34"/>
      <c r="G158" s="35" t="e">
        <f>#REF!</f>
        <v>#REF!</v>
      </c>
      <c r="H158" s="36"/>
      <c r="I158" s="29"/>
      <c r="J158" s="37" t="e">
        <f t="shared" si="12"/>
        <v>#REF!</v>
      </c>
      <c r="K158" s="38" t="e">
        <f t="shared" si="13"/>
        <v>#REF!</v>
      </c>
    </row>
    <row r="159" spans="1:11" x14ac:dyDescent="0.35">
      <c r="A159" s="29"/>
      <c r="B159" s="18"/>
      <c r="C159" s="18"/>
      <c r="D159" s="18"/>
      <c r="E159" s="18"/>
      <c r="F159" s="34" t="s">
        <v>171</v>
      </c>
      <c r="G159" s="35" t="e">
        <f>#REF!</f>
        <v>#REF!</v>
      </c>
      <c r="H159" s="36"/>
      <c r="I159" s="29">
        <v>32.75</v>
      </c>
      <c r="J159" s="37" t="e">
        <f t="shared" si="12"/>
        <v>#REF!</v>
      </c>
      <c r="K159" s="38" t="e">
        <f>IF(G159=0,0,(((SUM(A159:E159)/G159)-(I159/G159))*52))</f>
        <v>#REF!</v>
      </c>
    </row>
    <row r="160" spans="1:11" x14ac:dyDescent="0.35">
      <c r="A160" s="29"/>
      <c r="B160" s="18"/>
      <c r="C160" s="18"/>
      <c r="D160" s="18"/>
      <c r="E160" s="18"/>
      <c r="F160" s="34" t="s">
        <v>172</v>
      </c>
      <c r="G160" s="35" t="e">
        <f>#REF!</f>
        <v>#REF!</v>
      </c>
      <c r="H160" s="36"/>
      <c r="I160" s="29">
        <v>37.65</v>
      </c>
      <c r="J160" s="37" t="e">
        <f t="shared" si="12"/>
        <v>#REF!</v>
      </c>
      <c r="K160" s="38" t="e">
        <f t="shared" si="13"/>
        <v>#REF!</v>
      </c>
    </row>
    <row r="161" spans="1:11" x14ac:dyDescent="0.35">
      <c r="A161" s="29"/>
      <c r="B161" s="18"/>
      <c r="C161" s="18"/>
      <c r="D161" s="18"/>
      <c r="E161" s="18"/>
      <c r="F161" s="34"/>
      <c r="G161" s="35" t="e">
        <f>#REF!</f>
        <v>#REF!</v>
      </c>
      <c r="H161" s="36"/>
      <c r="I161" s="29"/>
      <c r="J161" s="37" t="e">
        <f t="shared" si="12"/>
        <v>#REF!</v>
      </c>
      <c r="K161" s="38" t="e">
        <f>IF(G161=0,0,(((SUM(A161:E161)/G161)-(I161/G161))*52))</f>
        <v>#REF!</v>
      </c>
    </row>
    <row r="162" spans="1:11" x14ac:dyDescent="0.35">
      <c r="A162" s="29"/>
      <c r="B162" s="18"/>
      <c r="C162" s="18"/>
      <c r="D162" s="18"/>
      <c r="E162" s="18"/>
      <c r="F162" s="34"/>
      <c r="G162" s="35" t="e">
        <f>#REF!</f>
        <v>#REF!</v>
      </c>
      <c r="H162" s="36"/>
      <c r="I162" s="29"/>
      <c r="J162" s="37" t="e">
        <f t="shared" si="12"/>
        <v>#REF!</v>
      </c>
      <c r="K162" s="38" t="e">
        <f t="shared" si="13"/>
        <v>#REF!</v>
      </c>
    </row>
    <row r="163" spans="1:11" x14ac:dyDescent="0.35">
      <c r="A163" s="29"/>
      <c r="B163" s="18"/>
      <c r="C163" s="18"/>
      <c r="D163" s="18"/>
      <c r="E163" s="18"/>
      <c r="F163" s="34"/>
      <c r="G163" s="35">
        <v>80.400000000000006</v>
      </c>
      <c r="H163" s="36"/>
      <c r="I163" s="29"/>
      <c r="J163" s="37">
        <f t="shared" si="12"/>
        <v>0</v>
      </c>
      <c r="K163" s="38">
        <f>IF(G163=0,0,(((SUM(A163:E163)/G163)-(I163/G163))*52))</f>
        <v>0</v>
      </c>
    </row>
    <row r="164" spans="1:11" x14ac:dyDescent="0.35">
      <c r="A164" s="29"/>
      <c r="B164" s="18"/>
      <c r="C164" s="18"/>
      <c r="D164" s="18"/>
      <c r="E164" s="18"/>
      <c r="F164" s="34"/>
      <c r="G164" s="35">
        <v>40.950000000000003</v>
      </c>
      <c r="H164" s="36"/>
      <c r="I164" s="29"/>
      <c r="J164" s="37">
        <f t="shared" si="12"/>
        <v>0</v>
      </c>
      <c r="K164" s="38">
        <f t="shared" ref="K164:K172" si="14">IF(G164=0,0,(((SUM(A164:E164)/G164)-(I164/G164))*52))</f>
        <v>0</v>
      </c>
    </row>
    <row r="165" spans="1:11" x14ac:dyDescent="0.35">
      <c r="A165" s="29"/>
      <c r="B165" s="18"/>
      <c r="C165" s="18"/>
      <c r="D165" s="18"/>
      <c r="E165" s="18"/>
      <c r="F165" s="34"/>
      <c r="G165" s="35">
        <v>40.950000000000003</v>
      </c>
      <c r="H165" s="36"/>
      <c r="I165" s="29"/>
      <c r="J165" s="37">
        <f t="shared" si="12"/>
        <v>0</v>
      </c>
      <c r="K165" s="38">
        <f t="shared" si="14"/>
        <v>0</v>
      </c>
    </row>
    <row r="166" spans="1:11" x14ac:dyDescent="0.35">
      <c r="A166" s="29"/>
      <c r="B166" s="18"/>
      <c r="C166" s="18"/>
      <c r="D166" s="18"/>
      <c r="E166" s="18"/>
      <c r="F166" s="34"/>
      <c r="G166" s="35" t="e">
        <f>#REF!</f>
        <v>#REF!</v>
      </c>
      <c r="H166" s="36"/>
      <c r="I166" s="29"/>
      <c r="J166" s="37" t="e">
        <f t="shared" si="12"/>
        <v>#REF!</v>
      </c>
      <c r="K166" s="38" t="e">
        <f t="shared" si="14"/>
        <v>#REF!</v>
      </c>
    </row>
    <row r="167" spans="1:11" ht="24" customHeight="1" x14ac:dyDescent="0.35">
      <c r="A167" s="29"/>
      <c r="B167" s="18"/>
      <c r="C167" s="18"/>
      <c r="D167" s="18"/>
      <c r="E167" s="18"/>
      <c r="F167" s="34" t="e">
        <f>#REF!</f>
        <v>#REF!</v>
      </c>
      <c r="G167" s="35" t="e">
        <f>#REF!</f>
        <v>#REF!</v>
      </c>
      <c r="H167" s="36"/>
      <c r="I167" s="29"/>
      <c r="J167" s="37" t="e">
        <f t="shared" si="12"/>
        <v>#REF!</v>
      </c>
      <c r="K167" s="38" t="e">
        <f t="shared" si="14"/>
        <v>#REF!</v>
      </c>
    </row>
    <row r="168" spans="1:11" ht="19.5" customHeight="1" x14ac:dyDescent="0.35">
      <c r="A168" s="29"/>
      <c r="B168" s="18"/>
      <c r="C168" s="18"/>
      <c r="D168" s="18"/>
      <c r="E168" s="18"/>
      <c r="F168" s="34" t="e">
        <f>#REF!</f>
        <v>#REF!</v>
      </c>
      <c r="G168" s="35" t="e">
        <f>#REF!</f>
        <v>#REF!</v>
      </c>
      <c r="H168" s="36"/>
      <c r="I168" s="29"/>
      <c r="J168" s="37" t="e">
        <f t="shared" si="12"/>
        <v>#REF!</v>
      </c>
      <c r="K168" s="38" t="e">
        <f t="shared" si="14"/>
        <v>#REF!</v>
      </c>
    </row>
    <row r="169" spans="1:11" ht="19.5" customHeight="1" x14ac:dyDescent="0.35">
      <c r="A169" s="29"/>
      <c r="B169" s="18"/>
      <c r="C169" s="18"/>
      <c r="D169" s="18"/>
      <c r="E169" s="18"/>
      <c r="F169" s="34" t="e">
        <f>#REF!</f>
        <v>#REF!</v>
      </c>
      <c r="G169" s="35" t="e">
        <f>#REF!</f>
        <v>#REF!</v>
      </c>
      <c r="H169" s="36" t="e">
        <f>#REF!</f>
        <v>#REF!</v>
      </c>
      <c r="I169" s="29"/>
      <c r="J169" s="37" t="e">
        <f t="shared" si="12"/>
        <v>#REF!</v>
      </c>
      <c r="K169" s="38" t="e">
        <f t="shared" si="14"/>
        <v>#REF!</v>
      </c>
    </row>
    <row r="170" spans="1:11" ht="19.5" customHeight="1" x14ac:dyDescent="0.35">
      <c r="A170" s="29"/>
      <c r="B170" s="18"/>
      <c r="C170" s="18"/>
      <c r="D170" s="18"/>
      <c r="E170" s="18"/>
      <c r="F170" s="34" t="e">
        <f>#REF!</f>
        <v>#REF!</v>
      </c>
      <c r="G170" s="35" t="e">
        <f>#REF!</f>
        <v>#REF!</v>
      </c>
      <c r="H170" s="36" t="e">
        <f>#REF!</f>
        <v>#REF!</v>
      </c>
      <c r="I170" s="29"/>
      <c r="J170" s="37" t="e">
        <f t="shared" si="12"/>
        <v>#REF!</v>
      </c>
      <c r="K170" s="38" t="e">
        <f t="shared" si="14"/>
        <v>#REF!</v>
      </c>
    </row>
    <row r="171" spans="1:11" ht="19.5" customHeight="1" x14ac:dyDescent="0.35">
      <c r="A171" s="29"/>
      <c r="B171" s="18"/>
      <c r="C171" s="18"/>
      <c r="D171" s="18"/>
      <c r="E171" s="18"/>
      <c r="F171" s="34" t="e">
        <f>#REF!</f>
        <v>#REF!</v>
      </c>
      <c r="G171" s="35" t="e">
        <f>#REF!</f>
        <v>#REF!</v>
      </c>
      <c r="H171" s="36" t="e">
        <f>#REF!</f>
        <v>#REF!</v>
      </c>
      <c r="I171" s="29"/>
      <c r="J171" s="37" t="e">
        <f t="shared" si="12"/>
        <v>#REF!</v>
      </c>
      <c r="K171" s="38" t="e">
        <f t="shared" si="14"/>
        <v>#REF!</v>
      </c>
    </row>
    <row r="172" spans="1:11" ht="15" customHeight="1" thickBot="1" x14ac:dyDescent="0.4">
      <c r="A172" s="29"/>
      <c r="B172" s="18"/>
      <c r="C172" s="18"/>
      <c r="D172" s="18"/>
      <c r="E172" s="18"/>
      <c r="F172" s="34" t="e">
        <f>#REF!</f>
        <v>#REF!</v>
      </c>
      <c r="G172" s="35" t="e">
        <f>#REF!</f>
        <v>#REF!</v>
      </c>
      <c r="H172" s="36" t="e">
        <f>#REF!</f>
        <v>#REF!</v>
      </c>
      <c r="I172" s="29"/>
      <c r="J172" s="37" t="e">
        <f t="shared" si="12"/>
        <v>#REF!</v>
      </c>
      <c r="K172" s="38" t="e">
        <f t="shared" si="14"/>
        <v>#REF!</v>
      </c>
    </row>
    <row r="173" spans="1:11" ht="15" customHeight="1" thickBot="1" x14ac:dyDescent="0.6">
      <c r="A173" s="155" t="s">
        <v>26</v>
      </c>
      <c r="B173" s="156"/>
      <c r="C173" s="156"/>
      <c r="D173" s="156"/>
      <c r="E173" s="156"/>
      <c r="F173" s="156"/>
      <c r="G173" s="156"/>
      <c r="H173" s="156"/>
      <c r="I173" s="156"/>
      <c r="J173" s="156"/>
      <c r="K173" s="157"/>
    </row>
    <row r="174" spans="1:11" ht="15" customHeight="1" x14ac:dyDescent="0.35">
      <c r="A174" s="24"/>
      <c r="B174" s="52"/>
      <c r="C174" s="52"/>
      <c r="D174" s="52"/>
      <c r="E174" s="52"/>
      <c r="F174" s="66" t="s">
        <v>173</v>
      </c>
      <c r="G174" s="67" t="e">
        <f>#REF!</f>
        <v>#REF!</v>
      </c>
      <c r="H174" s="68"/>
      <c r="I174" s="24">
        <v>3</v>
      </c>
      <c r="J174" s="69" t="e">
        <f>IF(G174=0,0,(I174/G174)*H174)</f>
        <v>#REF!</v>
      </c>
      <c r="K174" s="70" t="e">
        <f>IF(G174=0,0,(((SUM(A174:E174)/G174)-(I174/G174))*26))</f>
        <v>#REF!</v>
      </c>
    </row>
    <row r="175" spans="1:11" ht="15" customHeight="1" x14ac:dyDescent="0.35">
      <c r="A175" s="17"/>
      <c r="B175" s="15"/>
      <c r="C175" s="15"/>
      <c r="D175" s="15"/>
      <c r="E175" s="15"/>
      <c r="F175" s="63" t="s">
        <v>119</v>
      </c>
      <c r="G175" s="64" t="e">
        <f>#REF!</f>
        <v>#REF!</v>
      </c>
      <c r="H175" s="65"/>
      <c r="I175" s="17">
        <v>3.5</v>
      </c>
      <c r="J175" s="39" t="e">
        <f t="shared" ref="J175:J191" si="15">IF(G175=0,0,(I175/G175)*H175)</f>
        <v>#REF!</v>
      </c>
      <c r="K175" s="40" t="e">
        <f>IF(G175=0,0,(((SUM(A175:E175)/G175)-(I175/G175))*52))</f>
        <v>#REF!</v>
      </c>
    </row>
    <row r="176" spans="1:11" ht="15" customHeight="1" x14ac:dyDescent="0.35">
      <c r="A176" s="17"/>
      <c r="B176" s="15"/>
      <c r="C176" s="15"/>
      <c r="D176" s="15"/>
      <c r="E176" s="15"/>
      <c r="F176" s="63" t="s">
        <v>120</v>
      </c>
      <c r="G176" s="64" t="e">
        <f>#REF!</f>
        <v>#REF!</v>
      </c>
      <c r="H176" s="65"/>
      <c r="I176" s="17"/>
      <c r="J176" s="39" t="e">
        <f t="shared" si="15"/>
        <v>#REF!</v>
      </c>
      <c r="K176" s="40" t="e">
        <f t="shared" ref="K176:K182" si="16">IF(G176=0,0,(((SUM(A176:E176)/G176)-(I176/G176))*26))</f>
        <v>#REF!</v>
      </c>
    </row>
    <row r="177" spans="1:11" ht="15" customHeight="1" x14ac:dyDescent="0.35">
      <c r="A177" s="17"/>
      <c r="B177" s="15"/>
      <c r="C177" s="15"/>
      <c r="D177" s="15"/>
      <c r="E177" s="15"/>
      <c r="F177" s="63"/>
      <c r="G177" s="64" t="e">
        <f>#REF!</f>
        <v>#REF!</v>
      </c>
      <c r="H177" s="65"/>
      <c r="I177" s="17"/>
      <c r="J177" s="39" t="e">
        <f t="shared" si="15"/>
        <v>#REF!</v>
      </c>
      <c r="K177" s="40" t="e">
        <f>IF(G177=0,0,(((SUM(A177:E177)/G177)-(I177/G177))*52))</f>
        <v>#REF!</v>
      </c>
    </row>
    <row r="178" spans="1:11" ht="15" customHeight="1" x14ac:dyDescent="0.35">
      <c r="A178" s="17"/>
      <c r="B178" s="15"/>
      <c r="C178" s="15"/>
      <c r="D178" s="15"/>
      <c r="E178" s="15"/>
      <c r="F178" s="63"/>
      <c r="G178" s="64" t="e">
        <f>#REF!</f>
        <v>#REF!</v>
      </c>
      <c r="H178" s="65"/>
      <c r="I178" s="17"/>
      <c r="J178" s="39" t="e">
        <f t="shared" si="15"/>
        <v>#REF!</v>
      </c>
      <c r="K178" s="40" t="e">
        <f t="shared" si="16"/>
        <v>#REF!</v>
      </c>
    </row>
    <row r="179" spans="1:11" ht="15" customHeight="1" x14ac:dyDescent="0.35">
      <c r="A179" s="17"/>
      <c r="B179" s="15"/>
      <c r="C179" s="15"/>
      <c r="D179" s="15"/>
      <c r="E179" s="15"/>
      <c r="F179" s="63" t="s">
        <v>164</v>
      </c>
      <c r="G179" s="64" t="e">
        <f>#REF!</f>
        <v>#REF!</v>
      </c>
      <c r="H179" s="65"/>
      <c r="I179" s="17">
        <v>33.15</v>
      </c>
      <c r="J179" s="39" t="e">
        <f t="shared" si="15"/>
        <v>#REF!</v>
      </c>
      <c r="K179" s="40" t="e">
        <f>IF(G179=0,0,(((SUM(A179:E179)/G179)-(I179/G179))*52))</f>
        <v>#REF!</v>
      </c>
    </row>
    <row r="180" spans="1:11" ht="15" customHeight="1" x14ac:dyDescent="0.35">
      <c r="A180" s="17"/>
      <c r="B180" s="15"/>
      <c r="C180" s="15"/>
      <c r="D180" s="15"/>
      <c r="E180" s="15"/>
      <c r="F180" s="63" t="s">
        <v>165</v>
      </c>
      <c r="G180" s="64" t="e">
        <f>#REF!</f>
        <v>#REF!</v>
      </c>
      <c r="H180" s="65"/>
      <c r="I180" s="17">
        <v>1</v>
      </c>
      <c r="J180" s="39" t="e">
        <f t="shared" si="15"/>
        <v>#REF!</v>
      </c>
      <c r="K180" s="40" t="e">
        <f t="shared" si="16"/>
        <v>#REF!</v>
      </c>
    </row>
    <row r="181" spans="1:11" ht="20.149999999999999" customHeight="1" x14ac:dyDescent="0.35">
      <c r="A181" s="17"/>
      <c r="B181" s="15"/>
      <c r="C181" s="15"/>
      <c r="D181" s="15"/>
      <c r="E181" s="15"/>
      <c r="F181" s="63" t="s">
        <v>68</v>
      </c>
      <c r="G181" s="64" t="e">
        <f>#REF!</f>
        <v>#REF!</v>
      </c>
      <c r="H181" s="65"/>
      <c r="I181" s="17">
        <v>40.299999999999997</v>
      </c>
      <c r="J181" s="39" t="e">
        <f t="shared" si="15"/>
        <v>#REF!</v>
      </c>
      <c r="K181" s="40" t="e">
        <f>IF(G181=0,0,(((SUM(A181:E181)/G181)-(I181/G181))*52))</f>
        <v>#REF!</v>
      </c>
    </row>
    <row r="182" spans="1:11" ht="20.149999999999999" customHeight="1" x14ac:dyDescent="0.35">
      <c r="A182" s="17"/>
      <c r="B182" s="15"/>
      <c r="C182" s="15"/>
      <c r="D182" s="15"/>
      <c r="E182" s="15"/>
      <c r="F182" s="63" t="s">
        <v>166</v>
      </c>
      <c r="G182" s="64" t="e">
        <f>#REF!</f>
        <v>#REF!</v>
      </c>
      <c r="H182" s="65"/>
      <c r="I182" s="17">
        <v>24.35</v>
      </c>
      <c r="J182" s="39" t="e">
        <f t="shared" si="15"/>
        <v>#REF!</v>
      </c>
      <c r="K182" s="40" t="e">
        <f t="shared" si="16"/>
        <v>#REF!</v>
      </c>
    </row>
    <row r="183" spans="1:11" ht="20.149999999999999" customHeight="1" x14ac:dyDescent="0.35">
      <c r="A183" s="17"/>
      <c r="B183" s="15"/>
      <c r="C183" s="15"/>
      <c r="D183" s="15"/>
      <c r="E183" s="15"/>
      <c r="F183" s="63" t="s">
        <v>167</v>
      </c>
      <c r="G183" s="64" t="e">
        <f>#REF!</f>
        <v>#REF!</v>
      </c>
      <c r="H183" s="65"/>
      <c r="I183" s="17">
        <v>27.65</v>
      </c>
      <c r="J183" s="39" t="e">
        <f t="shared" si="15"/>
        <v>#REF!</v>
      </c>
      <c r="K183" s="40" t="e">
        <f>IF(G183=0,0,(((SUM(A183:E183)/G183)-(I183/G183))*52))</f>
        <v>#REF!</v>
      </c>
    </row>
    <row r="184" spans="1:11" ht="20.149999999999999" customHeight="1" x14ac:dyDescent="0.35">
      <c r="A184" s="17"/>
      <c r="B184" s="15"/>
      <c r="C184" s="15"/>
      <c r="D184" s="15"/>
      <c r="E184" s="15"/>
      <c r="F184" s="34" t="s">
        <v>168</v>
      </c>
      <c r="G184" s="64">
        <v>40.950000000000003</v>
      </c>
      <c r="H184" s="65"/>
      <c r="I184" s="17">
        <v>25.55</v>
      </c>
      <c r="J184" s="39">
        <f t="shared" si="15"/>
        <v>0</v>
      </c>
      <c r="K184" s="40">
        <f t="shared" ref="K184:K191" si="17">IF(G184=0,0,(((SUM(A184:E184)/G184)-(I184/G184))*52))</f>
        <v>-32.444444444444443</v>
      </c>
    </row>
    <row r="185" spans="1:11" ht="20.149999999999999" customHeight="1" x14ac:dyDescent="0.35">
      <c r="A185" s="17"/>
      <c r="B185" s="15"/>
      <c r="C185" s="15"/>
      <c r="D185" s="15"/>
      <c r="E185" s="15"/>
      <c r="F185" s="63" t="s">
        <v>169</v>
      </c>
      <c r="G185" s="64">
        <v>40.950000000000003</v>
      </c>
      <c r="H185" s="65"/>
      <c r="I185" s="17">
        <v>22.6</v>
      </c>
      <c r="J185" s="39">
        <f t="shared" si="15"/>
        <v>0</v>
      </c>
      <c r="K185" s="40">
        <f t="shared" si="17"/>
        <v>-28.698412698412699</v>
      </c>
    </row>
    <row r="186" spans="1:11" x14ac:dyDescent="0.35">
      <c r="A186" s="17"/>
      <c r="B186" s="15"/>
      <c r="C186" s="15"/>
      <c r="D186" s="15"/>
      <c r="E186" s="15"/>
      <c r="F186" s="63" t="s">
        <v>170</v>
      </c>
      <c r="G186" s="64">
        <v>39.4</v>
      </c>
      <c r="H186" s="65"/>
      <c r="I186" s="17">
        <v>31.65</v>
      </c>
      <c r="J186" s="39">
        <f t="shared" si="15"/>
        <v>0</v>
      </c>
      <c r="K186" s="40">
        <f t="shared" si="17"/>
        <v>-41.771573604060912</v>
      </c>
    </row>
    <row r="187" spans="1:11" ht="20.149999999999999" customHeight="1" x14ac:dyDescent="0.35">
      <c r="A187" s="17"/>
      <c r="B187" s="15"/>
      <c r="C187" s="15"/>
      <c r="D187" s="15"/>
      <c r="E187" s="15"/>
      <c r="F187" s="63" t="e">
        <f>#REF!</f>
        <v>#REF!</v>
      </c>
      <c r="G187" s="64" t="e">
        <f>#REF!</f>
        <v>#REF!</v>
      </c>
      <c r="H187" s="65"/>
      <c r="I187" s="17"/>
      <c r="J187" s="39" t="e">
        <f t="shared" si="15"/>
        <v>#REF!</v>
      </c>
      <c r="K187" s="40" t="e">
        <f t="shared" si="17"/>
        <v>#REF!</v>
      </c>
    </row>
    <row r="188" spans="1:11" ht="20.149999999999999" customHeight="1" x14ac:dyDescent="0.35">
      <c r="A188" s="17"/>
      <c r="B188" s="15"/>
      <c r="C188" s="15"/>
      <c r="D188" s="15"/>
      <c r="E188" s="15"/>
      <c r="F188" s="63" t="e">
        <f>#REF!</f>
        <v>#REF!</v>
      </c>
      <c r="G188" s="64" t="e">
        <f>#REF!</f>
        <v>#REF!</v>
      </c>
      <c r="H188" s="65"/>
      <c r="I188" s="17"/>
      <c r="J188" s="39" t="e">
        <f t="shared" si="15"/>
        <v>#REF!</v>
      </c>
      <c r="K188" s="40" t="e">
        <f t="shared" si="17"/>
        <v>#REF!</v>
      </c>
    </row>
    <row r="189" spans="1:11" ht="20.149999999999999" customHeight="1" x14ac:dyDescent="0.35">
      <c r="A189" s="17"/>
      <c r="B189" s="15"/>
      <c r="C189" s="15"/>
      <c r="D189" s="15"/>
      <c r="E189" s="15"/>
      <c r="F189" s="63" t="e">
        <f>#REF!</f>
        <v>#REF!</v>
      </c>
      <c r="G189" s="64" t="e">
        <f>#REF!</f>
        <v>#REF!</v>
      </c>
      <c r="H189" s="65"/>
      <c r="I189" s="17"/>
      <c r="J189" s="39" t="e">
        <f t="shared" si="15"/>
        <v>#REF!</v>
      </c>
      <c r="K189" s="40" t="e">
        <f t="shared" si="17"/>
        <v>#REF!</v>
      </c>
    </row>
    <row r="190" spans="1:11" ht="20.149999999999999" customHeight="1" x14ac:dyDescent="0.35">
      <c r="A190" s="17"/>
      <c r="B190" s="15"/>
      <c r="C190" s="15"/>
      <c r="D190" s="15"/>
      <c r="E190" s="15"/>
      <c r="F190" s="63" t="e">
        <f>#REF!</f>
        <v>#REF!</v>
      </c>
      <c r="G190" s="64" t="e">
        <f>#REF!</f>
        <v>#REF!</v>
      </c>
      <c r="H190" s="65"/>
      <c r="I190" s="17"/>
      <c r="J190" s="39" t="e">
        <f t="shared" si="15"/>
        <v>#REF!</v>
      </c>
      <c r="K190" s="40" t="e">
        <f t="shared" si="17"/>
        <v>#REF!</v>
      </c>
    </row>
    <row r="191" spans="1:11" ht="20.149999999999999" customHeight="1" thickBot="1" x14ac:dyDescent="0.4">
      <c r="A191" s="33"/>
      <c r="B191" s="32"/>
      <c r="C191" s="32"/>
      <c r="D191" s="32"/>
      <c r="E191" s="32"/>
      <c r="F191" s="71" t="e">
        <f>#REF!</f>
        <v>#REF!</v>
      </c>
      <c r="G191" s="72" t="e">
        <f>#REF!</f>
        <v>#REF!</v>
      </c>
      <c r="H191" s="73"/>
      <c r="I191" s="33"/>
      <c r="J191" s="74" t="e">
        <f t="shared" si="15"/>
        <v>#REF!</v>
      </c>
      <c r="K191" s="75" t="e">
        <f t="shared" si="17"/>
        <v>#REF!</v>
      </c>
    </row>
    <row r="192" spans="1:11" ht="20.149999999999999" customHeight="1" thickBot="1" x14ac:dyDescent="0.6">
      <c r="A192" s="109" t="s">
        <v>9</v>
      </c>
      <c r="B192" s="110"/>
      <c r="C192" s="110"/>
      <c r="D192" s="110"/>
      <c r="E192" s="110"/>
      <c r="F192" s="110"/>
      <c r="G192" s="110"/>
      <c r="H192" s="110"/>
      <c r="I192" s="111"/>
      <c r="J192" s="87">
        <v>409.95678002576386</v>
      </c>
      <c r="K192" s="88"/>
    </row>
    <row r="193" spans="1:13" ht="20.149999999999999" customHeight="1" thickBot="1" x14ac:dyDescent="0.6">
      <c r="A193" s="109" t="s">
        <v>27</v>
      </c>
      <c r="B193" s="110"/>
      <c r="C193" s="110"/>
      <c r="D193" s="110"/>
      <c r="E193" s="110"/>
      <c r="F193" s="110"/>
      <c r="G193" s="110"/>
      <c r="H193" s="110"/>
      <c r="I193" s="111"/>
      <c r="J193" s="89">
        <v>0</v>
      </c>
      <c r="K193" s="90"/>
    </row>
    <row r="194" spans="1:13" ht="24" thickBot="1" x14ac:dyDescent="0.6">
      <c r="A194" s="109" t="s">
        <v>55</v>
      </c>
      <c r="B194" s="110"/>
      <c r="C194" s="110"/>
      <c r="D194" s="110"/>
      <c r="E194" s="110"/>
      <c r="F194" s="110"/>
      <c r="G194" s="110"/>
      <c r="H194" s="110"/>
      <c r="I194" s="111"/>
      <c r="J194" s="89">
        <v>0</v>
      </c>
      <c r="K194" s="90"/>
    </row>
    <row r="195" spans="1:13" ht="24" thickBot="1" x14ac:dyDescent="0.6">
      <c r="A195" s="109" t="s">
        <v>11</v>
      </c>
      <c r="B195" s="110"/>
      <c r="C195" s="110"/>
      <c r="D195" s="110"/>
      <c r="E195" s="110"/>
      <c r="F195" s="110"/>
      <c r="G195" s="110"/>
      <c r="H195" s="110"/>
      <c r="I195" s="111"/>
      <c r="J195" s="87" t="e">
        <f>SUM(J154:J165)+SUM(J174:J186)</f>
        <v>#REF!</v>
      </c>
      <c r="K195" s="88"/>
    </row>
    <row r="196" spans="1:13" ht="24" customHeight="1" thickBot="1" x14ac:dyDescent="0.6">
      <c r="A196" s="109" t="s">
        <v>28</v>
      </c>
      <c r="B196" s="110"/>
      <c r="C196" s="110"/>
      <c r="D196" s="110"/>
      <c r="E196" s="110"/>
      <c r="F196" s="110"/>
      <c r="G196" s="110"/>
      <c r="H196" s="110"/>
      <c r="I196" s="111"/>
      <c r="J196" s="165">
        <v>348.25</v>
      </c>
      <c r="K196" s="166"/>
    </row>
    <row r="197" spans="1:13" ht="24" thickBot="1" x14ac:dyDescent="0.6">
      <c r="A197" s="109" t="s">
        <v>29</v>
      </c>
      <c r="B197" s="110"/>
      <c r="C197" s="110"/>
      <c r="D197" s="110"/>
      <c r="E197" s="110"/>
      <c r="F197" s="110"/>
      <c r="G197" s="110"/>
      <c r="H197" s="110"/>
      <c r="I197" s="111"/>
      <c r="J197" s="87" t="e">
        <f>J192+J193+J194-J195</f>
        <v>#REF!</v>
      </c>
      <c r="K197" s="88"/>
    </row>
    <row r="198" spans="1:13" ht="24" thickBot="1" x14ac:dyDescent="0.6">
      <c r="A198" s="109" t="s">
        <v>30</v>
      </c>
      <c r="B198" s="110"/>
      <c r="C198" s="110"/>
      <c r="D198" s="110"/>
      <c r="E198" s="110"/>
      <c r="F198" s="110"/>
      <c r="G198" s="110"/>
      <c r="H198" s="110"/>
      <c r="I198" s="111"/>
      <c r="J198" s="112" t="e">
        <f>J197/J196</f>
        <v>#REF!</v>
      </c>
      <c r="K198" s="113"/>
      <c r="L198" s="3"/>
      <c r="M198" s="2"/>
    </row>
    <row r="199" spans="1:13" ht="24" thickBot="1" x14ac:dyDescent="0.6">
      <c r="A199" s="85" t="s">
        <v>56</v>
      </c>
      <c r="B199" s="85"/>
      <c r="C199" s="85"/>
      <c r="D199" s="85"/>
      <c r="E199" s="85"/>
      <c r="F199" s="85"/>
      <c r="G199" s="85"/>
      <c r="H199" s="85"/>
      <c r="I199" s="86"/>
      <c r="J199" s="112" t="e">
        <f>((H217+H218+H220-J195)/H219)</f>
        <v>#REF!</v>
      </c>
      <c r="K199" s="113"/>
      <c r="L199" s="3"/>
      <c r="M199" s="2"/>
    </row>
    <row r="200" spans="1:13" ht="24" thickBot="1" x14ac:dyDescent="0.6">
      <c r="A200" s="160" t="s">
        <v>31</v>
      </c>
      <c r="B200" s="161"/>
      <c r="C200" s="161"/>
      <c r="D200" s="161"/>
      <c r="E200" s="161"/>
      <c r="F200" s="161"/>
      <c r="G200" s="161"/>
      <c r="H200" s="161"/>
      <c r="I200" s="162"/>
      <c r="J200" s="163">
        <v>4318.1256176473144</v>
      </c>
      <c r="K200" s="164"/>
      <c r="L200" s="3"/>
      <c r="M200" s="2"/>
    </row>
    <row r="201" spans="1:13" ht="24" thickBot="1" x14ac:dyDescent="0.6">
      <c r="A201" s="160" t="s">
        <v>32</v>
      </c>
      <c r="B201" s="161"/>
      <c r="C201" s="161"/>
      <c r="D201" s="161"/>
      <c r="E201" s="161"/>
      <c r="F201" s="161"/>
      <c r="G201" s="161"/>
      <c r="H201" s="161"/>
      <c r="I201" s="162"/>
      <c r="J201" s="163">
        <v>1800</v>
      </c>
      <c r="K201" s="164"/>
      <c r="L201" s="3"/>
      <c r="M201" s="2"/>
    </row>
    <row r="202" spans="1:13" ht="24" thickBot="1" x14ac:dyDescent="0.6">
      <c r="A202" s="160" t="s">
        <v>54</v>
      </c>
      <c r="B202" s="161"/>
      <c r="C202" s="161"/>
      <c r="D202" s="161"/>
      <c r="E202" s="161"/>
      <c r="F202" s="161"/>
      <c r="G202" s="161"/>
      <c r="H202" s="161"/>
      <c r="I202" s="162"/>
      <c r="J202" s="163">
        <f>J57+J130+J194+J145</f>
        <v>0</v>
      </c>
      <c r="K202" s="164"/>
      <c r="L202" s="3"/>
      <c r="M202" s="2"/>
    </row>
    <row r="203" spans="1:13" ht="24" thickBot="1" x14ac:dyDescent="0.6">
      <c r="A203" s="160" t="s">
        <v>33</v>
      </c>
      <c r="B203" s="161"/>
      <c r="C203" s="161"/>
      <c r="D203" s="161"/>
      <c r="E203" s="161"/>
      <c r="F203" s="161"/>
      <c r="G203" s="161"/>
      <c r="H203" s="161"/>
      <c r="I203" s="162"/>
      <c r="J203" s="163" t="e">
        <f>J58+J131+J195+J146</f>
        <v>#REF!</v>
      </c>
      <c r="K203" s="164"/>
      <c r="L203" s="3"/>
      <c r="M203" s="2"/>
    </row>
    <row r="204" spans="1:13" ht="24" thickBot="1" x14ac:dyDescent="0.6">
      <c r="A204" s="160" t="s">
        <v>34</v>
      </c>
      <c r="B204" s="161"/>
      <c r="C204" s="161"/>
      <c r="D204" s="161"/>
      <c r="E204" s="161"/>
      <c r="F204" s="161"/>
      <c r="G204" s="161"/>
      <c r="H204" s="161"/>
      <c r="I204" s="162"/>
      <c r="J204" s="163">
        <f>J59+J132+J196+J147</f>
        <v>4741.58</v>
      </c>
      <c r="K204" s="164"/>
      <c r="L204" s="3"/>
      <c r="M204" s="2"/>
    </row>
    <row r="205" spans="1:13" ht="24" thickBot="1" x14ac:dyDescent="0.6">
      <c r="A205" s="160" t="s">
        <v>35</v>
      </c>
      <c r="B205" s="161"/>
      <c r="C205" s="161"/>
      <c r="D205" s="161"/>
      <c r="E205" s="161"/>
      <c r="F205" s="161"/>
      <c r="G205" s="161"/>
      <c r="H205" s="161"/>
      <c r="I205" s="162"/>
      <c r="J205" s="163" t="e">
        <f>J200+J201+J202-J203</f>
        <v>#REF!</v>
      </c>
      <c r="K205" s="164"/>
      <c r="L205" s="3"/>
      <c r="M205" s="2"/>
    </row>
    <row r="206" spans="1:13" ht="24" thickBot="1" x14ac:dyDescent="0.6">
      <c r="A206" s="160" t="s">
        <v>36</v>
      </c>
      <c r="B206" s="161"/>
      <c r="C206" s="161"/>
      <c r="D206" s="161"/>
      <c r="E206" s="161"/>
      <c r="F206" s="161"/>
      <c r="G206" s="161"/>
      <c r="H206" s="161"/>
      <c r="I206" s="162"/>
      <c r="J206" s="167" t="e">
        <f>J205/J204</f>
        <v>#REF!</v>
      </c>
      <c r="K206" s="168"/>
      <c r="L206" s="3"/>
      <c r="M206" s="2"/>
    </row>
    <row r="207" spans="1:13" ht="24" thickBot="1" x14ac:dyDescent="0.6">
      <c r="A207" s="169" t="s">
        <v>57</v>
      </c>
      <c r="B207" s="170"/>
      <c r="C207" s="170"/>
      <c r="D207" s="170"/>
      <c r="E207" s="170"/>
      <c r="F207" s="170"/>
      <c r="G207" s="170"/>
      <c r="H207" s="170"/>
      <c r="I207" s="171"/>
      <c r="J207" s="172" t="e">
        <f>((K217+K218+K220-J203))/K219</f>
        <v>#REF!</v>
      </c>
      <c r="K207" s="173"/>
      <c r="L207" s="3"/>
      <c r="M207" s="2"/>
    </row>
    <row r="208" spans="1:13" ht="24" thickBot="1" x14ac:dyDescent="0.6">
      <c r="A208" s="190" t="s">
        <v>37</v>
      </c>
      <c r="B208" s="191"/>
      <c r="C208" s="191"/>
      <c r="D208" s="191"/>
      <c r="E208" s="191"/>
      <c r="F208" s="191"/>
      <c r="G208" s="191"/>
      <c r="H208" s="191"/>
      <c r="I208" s="191"/>
      <c r="J208" s="191"/>
      <c r="K208" s="192"/>
      <c r="L208" s="3"/>
      <c r="M208" s="2"/>
    </row>
    <row r="209" spans="1:13" ht="15" thickBot="1" x14ac:dyDescent="0.4">
      <c r="A209" s="193" t="s">
        <v>8</v>
      </c>
      <c r="B209" s="194"/>
      <c r="C209" s="194"/>
      <c r="D209" s="194"/>
      <c r="E209" s="195"/>
      <c r="F209" s="20" t="s">
        <v>38</v>
      </c>
      <c r="G209" s="19" t="s">
        <v>42</v>
      </c>
      <c r="H209" s="19" t="s">
        <v>43</v>
      </c>
      <c r="I209" s="19" t="s">
        <v>47</v>
      </c>
      <c r="J209" s="21" t="s">
        <v>46</v>
      </c>
      <c r="K209" s="21" t="s">
        <v>71</v>
      </c>
      <c r="L209" s="3"/>
      <c r="M209" s="2"/>
    </row>
    <row r="210" spans="1:13" x14ac:dyDescent="0.35">
      <c r="A210" s="196" t="s">
        <v>39</v>
      </c>
      <c r="B210" s="197"/>
      <c r="C210" s="197"/>
      <c r="D210" s="197"/>
      <c r="E210" s="198"/>
      <c r="F210" s="22">
        <v>70</v>
      </c>
      <c r="G210" s="46" t="s">
        <v>38</v>
      </c>
      <c r="H210" s="23"/>
      <c r="I210" s="24">
        <v>1</v>
      </c>
      <c r="J210" s="24">
        <v>13</v>
      </c>
      <c r="K210" s="25">
        <v>40</v>
      </c>
      <c r="L210" s="3"/>
      <c r="M210" s="2"/>
    </row>
    <row r="211" spans="1:13" ht="15" thickBot="1" x14ac:dyDescent="0.4">
      <c r="A211" s="199" t="s">
        <v>40</v>
      </c>
      <c r="B211" s="200"/>
      <c r="C211" s="200"/>
      <c r="D211" s="200"/>
      <c r="E211" s="201"/>
      <c r="F211" s="26">
        <v>36</v>
      </c>
      <c r="G211" s="47" t="s">
        <v>52</v>
      </c>
      <c r="H211" s="185" t="e">
        <f>(H210*34)+(I210*17)+(J210*8)+(K210*6)-((SUM(K154:K164))+(SUM(K174:K183)))</f>
        <v>#REF!</v>
      </c>
      <c r="I211" s="186"/>
      <c r="J211" s="186"/>
      <c r="K211" s="187"/>
      <c r="L211" s="3"/>
    </row>
    <row r="212" spans="1:13" ht="15" thickBot="1" x14ac:dyDescent="0.4">
      <c r="A212" s="199" t="s">
        <v>41</v>
      </c>
      <c r="B212" s="200"/>
      <c r="C212" s="200"/>
      <c r="D212" s="200"/>
      <c r="E212" s="201"/>
      <c r="F212" s="26">
        <v>0</v>
      </c>
      <c r="G212" s="202" t="s">
        <v>45</v>
      </c>
      <c r="H212" s="203"/>
      <c r="I212" s="203"/>
      <c r="J212" s="203"/>
      <c r="K212" s="204"/>
      <c r="L212" s="3"/>
    </row>
    <row r="213" spans="1:13" x14ac:dyDescent="0.35">
      <c r="A213" s="174" t="s">
        <v>48</v>
      </c>
      <c r="B213" s="175"/>
      <c r="C213" s="175"/>
      <c r="D213" s="175"/>
      <c r="E213" s="176"/>
      <c r="F213" s="180">
        <f>(F210+(F211*2)+(F212*3))-(SUM(K5:K36))</f>
        <v>339.16694355246273</v>
      </c>
      <c r="G213" s="46" t="s">
        <v>38</v>
      </c>
      <c r="H213" s="182">
        <v>287</v>
      </c>
      <c r="I213" s="183"/>
      <c r="J213" s="183"/>
      <c r="K213" s="184"/>
      <c r="L213" s="3"/>
    </row>
    <row r="214" spans="1:13" ht="15" thickBot="1" x14ac:dyDescent="0.4">
      <c r="A214" s="177"/>
      <c r="B214" s="178"/>
      <c r="C214" s="178"/>
      <c r="D214" s="178"/>
      <c r="E214" s="179"/>
      <c r="F214" s="181"/>
      <c r="G214" s="47" t="s">
        <v>52</v>
      </c>
      <c r="H214" s="185">
        <f>H213-(SUM(K102:K127))</f>
        <v>345</v>
      </c>
      <c r="I214" s="186"/>
      <c r="J214" s="186"/>
      <c r="K214" s="187"/>
      <c r="L214" s="3"/>
    </row>
    <row r="215" spans="1:13" x14ac:dyDescent="0.35">
      <c r="A215" s="188"/>
      <c r="B215" s="188"/>
      <c r="C215" s="188"/>
      <c r="D215" s="188"/>
      <c r="E215" s="188"/>
      <c r="F215" s="10"/>
      <c r="H215" s="189"/>
      <c r="I215" s="189"/>
      <c r="J215" s="189"/>
      <c r="K215" s="189"/>
      <c r="L215" s="3"/>
    </row>
    <row r="216" spans="1:13" x14ac:dyDescent="0.35">
      <c r="A216" s="208"/>
      <c r="B216" s="208"/>
      <c r="C216" s="208"/>
      <c r="D216" s="208"/>
      <c r="E216" s="208"/>
      <c r="F216" s="11" t="s">
        <v>8</v>
      </c>
      <c r="G216" s="11" t="s">
        <v>49</v>
      </c>
      <c r="H216" s="209" t="s">
        <v>50</v>
      </c>
      <c r="I216" s="209"/>
      <c r="J216" t="s">
        <v>61</v>
      </c>
      <c r="K216" t="s">
        <v>51</v>
      </c>
      <c r="L216" s="3"/>
    </row>
    <row r="217" spans="1:13" x14ac:dyDescent="0.35">
      <c r="A217" s="205" t="s">
        <v>9</v>
      </c>
      <c r="B217" s="205"/>
      <c r="C217" s="205"/>
      <c r="D217" s="205"/>
      <c r="E217" s="205"/>
      <c r="F217" s="12">
        <f>J55</f>
        <v>1713.9906492157534</v>
      </c>
      <c r="G217" s="12">
        <f>J128</f>
        <v>1757.8899999999999</v>
      </c>
      <c r="H217" s="206">
        <f>J192</f>
        <v>409.95678002576386</v>
      </c>
      <c r="I217" s="206"/>
      <c r="J217" s="49">
        <f>J143</f>
        <v>436.28818840579714</v>
      </c>
      <c r="K217" s="13">
        <f>SUM(F217:J217)</f>
        <v>4318.1256176473144</v>
      </c>
      <c r="L217" s="3"/>
    </row>
    <row r="218" spans="1:13" x14ac:dyDescent="0.35">
      <c r="A218" s="205" t="s">
        <v>58</v>
      </c>
      <c r="B218" s="205"/>
      <c r="C218" s="205"/>
      <c r="D218" s="205"/>
      <c r="E218" s="205"/>
      <c r="F218" s="12">
        <f>J56</f>
        <v>100</v>
      </c>
      <c r="G218" s="12">
        <f>J129</f>
        <v>1300</v>
      </c>
      <c r="H218" s="206">
        <f>J193</f>
        <v>0</v>
      </c>
      <c r="I218" s="206"/>
      <c r="J218" s="49">
        <f>J144</f>
        <v>0</v>
      </c>
      <c r="K218" s="13">
        <f>SUM(F218:J218)</f>
        <v>1400</v>
      </c>
      <c r="L218" s="3"/>
    </row>
    <row r="219" spans="1:13" x14ac:dyDescent="0.35">
      <c r="A219" s="205" t="s">
        <v>59</v>
      </c>
      <c r="B219" s="205"/>
      <c r="C219" s="205"/>
      <c r="D219" s="205"/>
      <c r="E219" s="205"/>
      <c r="F219" s="12">
        <f>J59</f>
        <v>2054.58</v>
      </c>
      <c r="G219" s="12">
        <f>J132</f>
        <v>1739.25</v>
      </c>
      <c r="H219" s="206">
        <f>J196</f>
        <v>348.25</v>
      </c>
      <c r="I219" s="206"/>
      <c r="J219" s="49">
        <f>J147</f>
        <v>599.5</v>
      </c>
      <c r="K219" s="13">
        <f>SUM(F219:J219)</f>
        <v>4741.58</v>
      </c>
      <c r="L219" s="3"/>
    </row>
    <row r="220" spans="1:13" x14ac:dyDescent="0.35">
      <c r="A220" s="205" t="s">
        <v>60</v>
      </c>
      <c r="B220" s="205"/>
      <c r="C220" s="205"/>
      <c r="D220" s="205"/>
      <c r="E220" s="205"/>
      <c r="F220" s="48">
        <f>J57</f>
        <v>0</v>
      </c>
      <c r="G220" s="49">
        <f>J130</f>
        <v>0</v>
      </c>
      <c r="H220" s="207">
        <f>J194</f>
        <v>0</v>
      </c>
      <c r="I220" s="207"/>
      <c r="J220" s="49">
        <f>J145</f>
        <v>0</v>
      </c>
      <c r="K220" s="49">
        <f>SUM(F220:J220)</f>
        <v>0</v>
      </c>
      <c r="L220" s="3"/>
    </row>
    <row r="221" spans="1:13" x14ac:dyDescent="0.35">
      <c r="A221" s="205"/>
      <c r="B221" s="205"/>
      <c r="C221" s="205"/>
      <c r="D221" s="205"/>
      <c r="E221" s="205"/>
      <c r="F221" s="10"/>
      <c r="J221" s="8"/>
      <c r="L221" s="3"/>
    </row>
    <row r="222" spans="1:13" x14ac:dyDescent="0.35">
      <c r="A222" s="205"/>
      <c r="B222" s="205"/>
      <c r="C222" s="205"/>
      <c r="D222" s="205"/>
      <c r="E222" s="205"/>
      <c r="F222" s="10"/>
      <c r="J222" s="8"/>
      <c r="L222" s="3"/>
    </row>
    <row r="223" spans="1:13" x14ac:dyDescent="0.35">
      <c r="A223" s="208"/>
      <c r="B223" s="208"/>
      <c r="C223" s="208"/>
      <c r="D223" s="208"/>
      <c r="E223" s="208"/>
      <c r="F223" s="7"/>
      <c r="J223" s="8"/>
      <c r="L223" s="3"/>
    </row>
    <row r="224" spans="1:13" x14ac:dyDescent="0.35">
      <c r="A224" s="205"/>
      <c r="B224" s="205"/>
      <c r="C224" s="205"/>
      <c r="D224" s="205"/>
      <c r="E224" s="205"/>
      <c r="F224" s="10"/>
      <c r="J224" s="8"/>
      <c r="L224" s="2"/>
    </row>
    <row r="225" spans="1:16" x14ac:dyDescent="0.35">
      <c r="A225" s="205"/>
      <c r="B225" s="205"/>
      <c r="C225" s="205"/>
      <c r="D225" s="205"/>
      <c r="E225" s="205"/>
      <c r="F225" s="10"/>
      <c r="J225" s="8"/>
      <c r="L225" s="2"/>
    </row>
    <row r="226" spans="1:16" x14ac:dyDescent="0.35">
      <c r="A226" s="205"/>
      <c r="B226" s="205"/>
      <c r="C226" s="205"/>
      <c r="D226" s="205"/>
      <c r="E226" s="205"/>
      <c r="F226" s="10"/>
      <c r="J226" s="8"/>
      <c r="L226" s="2"/>
      <c r="M226" s="3"/>
      <c r="N226" s="4"/>
      <c r="O226" s="4"/>
      <c r="P226" s="4"/>
    </row>
    <row r="227" spans="1:16" x14ac:dyDescent="0.35">
      <c r="A227" s="205"/>
      <c r="B227" s="205"/>
      <c r="C227" s="205"/>
      <c r="D227" s="205"/>
      <c r="E227" s="205"/>
      <c r="F227" s="10"/>
      <c r="J227" s="8"/>
      <c r="L227" s="2"/>
    </row>
    <row r="228" spans="1:16" x14ac:dyDescent="0.35">
      <c r="A228" s="205"/>
      <c r="B228" s="205"/>
      <c r="C228" s="205"/>
      <c r="D228" s="205"/>
      <c r="E228" s="205"/>
      <c r="F228" s="10"/>
      <c r="J228" s="8"/>
      <c r="L228" s="2"/>
      <c r="M228" s="3"/>
      <c r="N228" s="4"/>
      <c r="O228" s="4"/>
      <c r="P228" s="4"/>
    </row>
    <row r="229" spans="1:16" x14ac:dyDescent="0.35">
      <c r="A229" s="205"/>
      <c r="B229" s="205"/>
      <c r="C229" s="205"/>
      <c r="D229" s="205"/>
      <c r="E229" s="205"/>
      <c r="F229" s="10"/>
      <c r="J229" s="8"/>
      <c r="L229" s="2"/>
      <c r="M229" s="3"/>
      <c r="N229" s="4"/>
      <c r="O229" s="4"/>
      <c r="P229" s="4"/>
    </row>
    <row r="230" spans="1:16" x14ac:dyDescent="0.35">
      <c r="A230" s="208"/>
      <c r="B230" s="208"/>
      <c r="C230" s="208"/>
      <c r="D230" s="208"/>
      <c r="E230" s="208"/>
      <c r="F230" s="7"/>
      <c r="J230" s="8"/>
      <c r="L230" s="2"/>
      <c r="M230" s="3"/>
      <c r="N230" s="4"/>
      <c r="O230" s="4"/>
      <c r="P230" s="4"/>
    </row>
    <row r="231" spans="1:16" x14ac:dyDescent="0.35">
      <c r="A231" s="208"/>
      <c r="B231" s="208"/>
      <c r="C231" s="208"/>
      <c r="D231" s="208"/>
      <c r="E231" s="208"/>
      <c r="F231" s="7"/>
      <c r="J231" s="8"/>
      <c r="L231" s="2"/>
      <c r="M231" s="3"/>
      <c r="N231" s="4"/>
      <c r="O231" s="4"/>
      <c r="P231" s="4"/>
    </row>
    <row r="232" spans="1:16" x14ac:dyDescent="0.35">
      <c r="A232" s="6"/>
      <c r="B232" s="6"/>
      <c r="C232" s="6"/>
      <c r="D232" s="6"/>
      <c r="E232" s="6"/>
      <c r="F232" s="6"/>
      <c r="J232" s="8"/>
      <c r="L232" s="2"/>
      <c r="M232" s="3"/>
      <c r="N232" s="2"/>
      <c r="O232" s="4"/>
      <c r="P232" s="4"/>
    </row>
    <row r="233" spans="1:16" x14ac:dyDescent="0.35">
      <c r="A233" s="6"/>
      <c r="B233" s="6"/>
      <c r="C233" s="6"/>
      <c r="D233" s="6"/>
      <c r="E233" s="6"/>
      <c r="F233" s="6"/>
      <c r="J233" s="8"/>
      <c r="L233" s="4"/>
      <c r="M233" s="3"/>
      <c r="N233" s="2"/>
      <c r="O233" s="4"/>
      <c r="P233" s="4"/>
    </row>
    <row r="234" spans="1:16" x14ac:dyDescent="0.35">
      <c r="A234" s="6"/>
      <c r="B234" s="6"/>
      <c r="C234" s="6"/>
      <c r="D234" s="6"/>
      <c r="E234" s="6"/>
      <c r="F234" s="6"/>
      <c r="G234" s="9"/>
      <c r="H234" s="9"/>
      <c r="I234" s="9"/>
      <c r="J234" s="9"/>
      <c r="K234" s="9"/>
      <c r="L234" s="2"/>
      <c r="M234" s="3"/>
      <c r="N234" s="4"/>
      <c r="O234" s="4"/>
      <c r="P234" s="4"/>
    </row>
    <row r="235" spans="1:16" x14ac:dyDescent="0.35">
      <c r="A235" s="6"/>
      <c r="B235" s="6"/>
      <c r="C235" s="6"/>
      <c r="D235" s="6"/>
      <c r="E235" s="6"/>
      <c r="F235" s="6"/>
      <c r="G235" s="9"/>
      <c r="H235" s="9"/>
      <c r="I235" s="9"/>
      <c r="J235" s="9"/>
      <c r="K235" s="9"/>
      <c r="L235" s="2"/>
      <c r="M235" s="3"/>
      <c r="N235" s="2"/>
      <c r="O235" s="4"/>
      <c r="P235" s="4"/>
    </row>
    <row r="236" spans="1:16" x14ac:dyDescent="0.35">
      <c r="A236" s="6"/>
      <c r="B236" s="6"/>
      <c r="C236" s="6"/>
      <c r="D236" s="6"/>
      <c r="E236" s="6"/>
      <c r="F236" s="7"/>
      <c r="G236" s="6"/>
      <c r="H236" s="6"/>
      <c r="I236" s="6"/>
      <c r="J236" s="6"/>
      <c r="K236" s="7"/>
      <c r="L236" s="2"/>
      <c r="M236" s="3"/>
      <c r="N236" s="2"/>
      <c r="O236" s="4"/>
      <c r="P236" s="4"/>
    </row>
    <row r="237" spans="1:16" x14ac:dyDescent="0.35">
      <c r="F237" s="8"/>
      <c r="G237" s="8"/>
      <c r="H237" s="8"/>
      <c r="I237" s="8"/>
      <c r="J237" s="8"/>
      <c r="L237" s="2"/>
      <c r="M237" s="3"/>
      <c r="N237" s="2"/>
      <c r="O237" s="4"/>
      <c r="P237" s="4"/>
    </row>
    <row r="238" spans="1:16" x14ac:dyDescent="0.35">
      <c r="F238" s="8"/>
      <c r="G238" s="8"/>
      <c r="H238" s="8"/>
      <c r="I238" s="8"/>
      <c r="J238" s="8"/>
      <c r="L238" s="2"/>
      <c r="M238" s="3"/>
      <c r="N238" s="2"/>
      <c r="O238" s="4"/>
      <c r="P238" s="4"/>
    </row>
    <row r="239" spans="1:16" x14ac:dyDescent="0.35">
      <c r="F239" s="8"/>
      <c r="G239" s="8"/>
      <c r="H239" s="8"/>
      <c r="I239" s="8"/>
      <c r="J239" s="8"/>
      <c r="L239" s="4"/>
      <c r="M239" s="3"/>
      <c r="N239" s="4"/>
      <c r="O239" s="4"/>
      <c r="P239" s="4"/>
    </row>
    <row r="240" spans="1:16" x14ac:dyDescent="0.35">
      <c r="F240" s="8"/>
      <c r="G240" s="8"/>
      <c r="H240" s="8"/>
      <c r="I240" s="8"/>
      <c r="J240" s="8"/>
      <c r="L240" s="2"/>
      <c r="M240" s="3"/>
      <c r="N240" s="2"/>
      <c r="O240" s="4"/>
      <c r="P240" s="4"/>
    </row>
    <row r="241" spans="1:16" x14ac:dyDescent="0.35">
      <c r="F241" s="8"/>
      <c r="G241" s="8"/>
      <c r="H241" s="8"/>
      <c r="I241" s="8"/>
      <c r="J241" s="8"/>
      <c r="L241" s="2"/>
      <c r="M241" s="3"/>
      <c r="N241" s="2"/>
      <c r="O241" s="4"/>
      <c r="P241" s="4"/>
    </row>
    <row r="242" spans="1:16" x14ac:dyDescent="0.35">
      <c r="F242" s="8"/>
      <c r="G242" s="8"/>
      <c r="H242" s="8"/>
      <c r="I242" s="8"/>
      <c r="J242" s="8"/>
      <c r="L242" s="2"/>
      <c r="M242" s="3"/>
      <c r="N242" s="2"/>
      <c r="O242" s="4"/>
      <c r="P242" s="4"/>
    </row>
    <row r="243" spans="1:16" x14ac:dyDescent="0.35">
      <c r="F243" s="8"/>
      <c r="G243" s="8"/>
      <c r="H243" s="8"/>
      <c r="I243" s="8"/>
      <c r="J243" s="8"/>
      <c r="L243" s="2"/>
      <c r="M243" s="3"/>
      <c r="N243" s="2"/>
      <c r="O243" s="4"/>
      <c r="P243" s="4"/>
    </row>
    <row r="244" spans="1:16" x14ac:dyDescent="0.35">
      <c r="F244" s="8"/>
      <c r="G244" s="8"/>
      <c r="H244" s="8"/>
      <c r="I244" s="8"/>
      <c r="J244" s="8"/>
      <c r="L244" s="2"/>
      <c r="M244" s="3"/>
      <c r="N244" s="2"/>
      <c r="O244" s="4"/>
      <c r="P244" s="4"/>
    </row>
    <row r="245" spans="1:16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L245" s="2"/>
      <c r="M245" s="3"/>
      <c r="N245" s="2"/>
      <c r="O245" s="4"/>
      <c r="P245" s="4"/>
    </row>
    <row r="246" spans="1:16" x14ac:dyDescent="0.35">
      <c r="L246" s="2"/>
      <c r="M246" s="3"/>
      <c r="N246" s="2"/>
      <c r="O246" s="4"/>
      <c r="P246" s="4"/>
    </row>
    <row r="247" spans="1:16" x14ac:dyDescent="0.35">
      <c r="L247" s="2"/>
      <c r="M247" s="3"/>
      <c r="N247" s="2"/>
      <c r="O247" s="4"/>
      <c r="P247" s="4"/>
    </row>
    <row r="248" spans="1:16" x14ac:dyDescent="0.35">
      <c r="L248" s="2"/>
      <c r="M248" s="3"/>
      <c r="N248" s="2"/>
      <c r="O248" s="4"/>
      <c r="P248" s="5"/>
    </row>
    <row r="262" spans="9:9" x14ac:dyDescent="0.35">
      <c r="I262" t="s">
        <v>226</v>
      </c>
    </row>
  </sheetData>
  <sheetProtection selectLockedCells="1" selectUnlockedCells="1"/>
  <sortState xmlns:xlrd2="http://schemas.microsoft.com/office/spreadsheetml/2017/richdata2" ref="F66:F86">
    <sortCondition ref="F66:F86"/>
  </sortState>
  <mergeCells count="185">
    <mergeCell ref="A229:E229"/>
    <mergeCell ref="A230:E230"/>
    <mergeCell ref="A231:E231"/>
    <mergeCell ref="A223:E223"/>
    <mergeCell ref="A224:E224"/>
    <mergeCell ref="A225:E225"/>
    <mergeCell ref="A226:E226"/>
    <mergeCell ref="A227:E227"/>
    <mergeCell ref="A228:E228"/>
    <mergeCell ref="A219:E219"/>
    <mergeCell ref="H219:I219"/>
    <mergeCell ref="A220:E220"/>
    <mergeCell ref="H220:I220"/>
    <mergeCell ref="A221:E221"/>
    <mergeCell ref="A222:E222"/>
    <mergeCell ref="A216:E216"/>
    <mergeCell ref="H216:I216"/>
    <mergeCell ref="A217:E217"/>
    <mergeCell ref="H217:I217"/>
    <mergeCell ref="A218:E218"/>
    <mergeCell ref="H218:I218"/>
    <mergeCell ref="A213:E214"/>
    <mergeCell ref="F213:F214"/>
    <mergeCell ref="H213:K213"/>
    <mergeCell ref="H214:K214"/>
    <mergeCell ref="A215:E215"/>
    <mergeCell ref="H215:K215"/>
    <mergeCell ref="A208:K208"/>
    <mergeCell ref="A209:E209"/>
    <mergeCell ref="A210:E210"/>
    <mergeCell ref="A211:E211"/>
    <mergeCell ref="H211:K211"/>
    <mergeCell ref="A212:E212"/>
    <mergeCell ref="G212:K212"/>
    <mergeCell ref="A205:I205"/>
    <mergeCell ref="J205:K205"/>
    <mergeCell ref="A206:I206"/>
    <mergeCell ref="J206:K206"/>
    <mergeCell ref="A207:I207"/>
    <mergeCell ref="J207:K207"/>
    <mergeCell ref="A202:I202"/>
    <mergeCell ref="J202:K202"/>
    <mergeCell ref="A203:I203"/>
    <mergeCell ref="J203:K203"/>
    <mergeCell ref="A204:I204"/>
    <mergeCell ref="J204:K204"/>
    <mergeCell ref="A199:I199"/>
    <mergeCell ref="J199:K199"/>
    <mergeCell ref="A200:I200"/>
    <mergeCell ref="J200:K200"/>
    <mergeCell ref="A201:I201"/>
    <mergeCell ref="J201:K201"/>
    <mergeCell ref="A196:I196"/>
    <mergeCell ref="J196:K196"/>
    <mergeCell ref="A197:I197"/>
    <mergeCell ref="J197:K197"/>
    <mergeCell ref="A198:I198"/>
    <mergeCell ref="J198:K198"/>
    <mergeCell ref="A193:I193"/>
    <mergeCell ref="J193:K193"/>
    <mergeCell ref="A194:I194"/>
    <mergeCell ref="J194:K194"/>
    <mergeCell ref="A195:I195"/>
    <mergeCell ref="J195:K195"/>
    <mergeCell ref="J151:J152"/>
    <mergeCell ref="K151:K152"/>
    <mergeCell ref="A153:K153"/>
    <mergeCell ref="A173:K173"/>
    <mergeCell ref="A192:I192"/>
    <mergeCell ref="J192:K192"/>
    <mergeCell ref="A151:A152"/>
    <mergeCell ref="B151:E151"/>
    <mergeCell ref="F151:F152"/>
    <mergeCell ref="G151:G152"/>
    <mergeCell ref="H151:H152"/>
    <mergeCell ref="I151:I152"/>
    <mergeCell ref="A148:I148"/>
    <mergeCell ref="J148:K148"/>
    <mergeCell ref="A149:I149"/>
    <mergeCell ref="J149:K149"/>
    <mergeCell ref="A150:I150"/>
    <mergeCell ref="J150:K150"/>
    <mergeCell ref="A145:I145"/>
    <mergeCell ref="J145:K145"/>
    <mergeCell ref="A146:I146"/>
    <mergeCell ref="J146:K146"/>
    <mergeCell ref="A147:I147"/>
    <mergeCell ref="J147:K147"/>
    <mergeCell ref="J136:J137"/>
    <mergeCell ref="K136:K137"/>
    <mergeCell ref="A138:K138"/>
    <mergeCell ref="A143:I143"/>
    <mergeCell ref="J143:K143"/>
    <mergeCell ref="A144:I144"/>
    <mergeCell ref="J144:K144"/>
    <mergeCell ref="A136:A137"/>
    <mergeCell ref="B136:E136"/>
    <mergeCell ref="F136:F137"/>
    <mergeCell ref="G136:G137"/>
    <mergeCell ref="H136:H137"/>
    <mergeCell ref="I136:I137"/>
    <mergeCell ref="A133:I133"/>
    <mergeCell ref="J133:K133"/>
    <mergeCell ref="A134:I134"/>
    <mergeCell ref="J134:K134"/>
    <mergeCell ref="A135:I135"/>
    <mergeCell ref="J135:K135"/>
    <mergeCell ref="A130:I130"/>
    <mergeCell ref="J130:K130"/>
    <mergeCell ref="A131:I131"/>
    <mergeCell ref="J131:K131"/>
    <mergeCell ref="A132:I132"/>
    <mergeCell ref="J132:K132"/>
    <mergeCell ref="A61:I61"/>
    <mergeCell ref="J61:K61"/>
    <mergeCell ref="A62:I62"/>
    <mergeCell ref="J62:K62"/>
    <mergeCell ref="A99:A100"/>
    <mergeCell ref="B99:E99"/>
    <mergeCell ref="F99:F100"/>
    <mergeCell ref="G99:G100"/>
    <mergeCell ref="H99:H100"/>
    <mergeCell ref="I99:I100"/>
    <mergeCell ref="A63:A64"/>
    <mergeCell ref="B63:E63"/>
    <mergeCell ref="F63:F64"/>
    <mergeCell ref="G63:G64"/>
    <mergeCell ref="H63:H64"/>
    <mergeCell ref="A93:I93"/>
    <mergeCell ref="J93:K93"/>
    <mergeCell ref="A94:I94"/>
    <mergeCell ref="J94:K94"/>
    <mergeCell ref="J59:K59"/>
    <mergeCell ref="A60:I60"/>
    <mergeCell ref="J60:K60"/>
    <mergeCell ref="A4:K4"/>
    <mergeCell ref="A55:I55"/>
    <mergeCell ref="J55:K55"/>
    <mergeCell ref="A56:I56"/>
    <mergeCell ref="J56:K56"/>
    <mergeCell ref="A57:I57"/>
    <mergeCell ref="J57:K57"/>
    <mergeCell ref="A14:K14"/>
    <mergeCell ref="A9:K9"/>
    <mergeCell ref="A43:K43"/>
    <mergeCell ref="A37:K37"/>
    <mergeCell ref="A31:K31"/>
    <mergeCell ref="A25:K25"/>
    <mergeCell ref="A22:K22"/>
    <mergeCell ref="A58:I58"/>
    <mergeCell ref="J58:K58"/>
    <mergeCell ref="A59:I59"/>
    <mergeCell ref="A1:K1"/>
    <mergeCell ref="A2:A3"/>
    <mergeCell ref="B2:E2"/>
    <mergeCell ref="F2:F3"/>
    <mergeCell ref="G2:G3"/>
    <mergeCell ref="H2:H3"/>
    <mergeCell ref="I2:I3"/>
    <mergeCell ref="J2:J3"/>
    <mergeCell ref="K2:K3"/>
    <mergeCell ref="A128:I128"/>
    <mergeCell ref="J128:K128"/>
    <mergeCell ref="A129:I129"/>
    <mergeCell ref="J129:K129"/>
    <mergeCell ref="A118:K118"/>
    <mergeCell ref="I63:I64"/>
    <mergeCell ref="J63:J64"/>
    <mergeCell ref="K63:K64"/>
    <mergeCell ref="A65:K65"/>
    <mergeCell ref="J99:J100"/>
    <mergeCell ref="K99:K100"/>
    <mergeCell ref="A101:K101"/>
    <mergeCell ref="A97:I97"/>
    <mergeCell ref="J97:K97"/>
    <mergeCell ref="A95:I95"/>
    <mergeCell ref="J95:K95"/>
    <mergeCell ref="A96:I96"/>
    <mergeCell ref="J96:K96"/>
    <mergeCell ref="A90:I90"/>
    <mergeCell ref="J90:K90"/>
    <mergeCell ref="A91:I91"/>
    <mergeCell ref="J91:K91"/>
    <mergeCell ref="A92:I92"/>
    <mergeCell ref="J92:K92"/>
  </mergeCells>
  <conditionalFormatting sqref="L223:L230 M226:O226 M228:O230 P248">
    <cfRule type="cellIs" dxfId="8" priority="1" stopIfTrue="1" operator="lessThan">
      <formula>0</formula>
    </cfRule>
  </conditionalFormatting>
  <pageMargins left="0.28000000000000003" right="0.09" top="0.26" bottom="0.25" header="0.25" footer="0.25"/>
  <pageSetup orientation="portrait" blackAndWhite="1" horizontalDpi="300" verticalDpi="300" r:id="rId1"/>
  <rowBreaks count="2" manualBreakCount="2">
    <brk id="98" max="10" man="1"/>
    <brk id="15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E454-9225-4A75-8D74-FF81875DBFA2}">
  <dimension ref="A1:R254"/>
  <sheetViews>
    <sheetView zoomScale="98" zoomScaleNormal="98" workbookViewId="0">
      <selection sqref="A1:K1"/>
    </sheetView>
  </sheetViews>
  <sheetFormatPr defaultRowHeight="14.5" x14ac:dyDescent="0.35"/>
  <cols>
    <col min="1" max="5" width="5.7265625" customWidth="1"/>
    <col min="6" max="6" width="32" customWidth="1"/>
    <col min="7" max="7" width="10.54296875" customWidth="1"/>
    <col min="8" max="8" width="8.54296875" customWidth="1"/>
    <col min="9" max="9" width="8.7265625" customWidth="1"/>
    <col min="10" max="11" width="10.54296875" customWidth="1"/>
  </cols>
  <sheetData>
    <row r="1" spans="1:18" ht="15" thickBot="1" x14ac:dyDescent="0.4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6"/>
      <c r="R1" s="8"/>
    </row>
    <row r="2" spans="1:18" x14ac:dyDescent="0.35">
      <c r="A2" s="117" t="s">
        <v>0</v>
      </c>
      <c r="B2" s="119" t="s">
        <v>1</v>
      </c>
      <c r="C2" s="119"/>
      <c r="D2" s="119"/>
      <c r="E2" s="119"/>
      <c r="F2" s="94" t="s">
        <v>2</v>
      </c>
      <c r="G2" s="120" t="s">
        <v>3</v>
      </c>
      <c r="H2" s="94" t="s">
        <v>4</v>
      </c>
      <c r="I2" s="94" t="s">
        <v>5</v>
      </c>
      <c r="J2" s="94" t="s">
        <v>6</v>
      </c>
      <c r="K2" s="96" t="s">
        <v>7</v>
      </c>
    </row>
    <row r="3" spans="1:18" x14ac:dyDescent="0.35">
      <c r="A3" s="118"/>
      <c r="B3" s="27">
        <v>1</v>
      </c>
      <c r="C3" s="27">
        <v>2</v>
      </c>
      <c r="D3" s="27">
        <v>3</v>
      </c>
      <c r="E3" s="27">
        <v>4</v>
      </c>
      <c r="F3" s="95"/>
      <c r="G3" s="121"/>
      <c r="H3" s="95"/>
      <c r="I3" s="95"/>
      <c r="J3" s="95"/>
      <c r="K3" s="97"/>
    </row>
    <row r="4" spans="1:18" s="1" customFormat="1" ht="20.149999999999999" customHeight="1" thickBot="1" x14ac:dyDescent="0.6">
      <c r="A4" s="127" t="s">
        <v>8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8" x14ac:dyDescent="0.35">
      <c r="A5" s="28">
        <f>46.05+39.35</f>
        <v>85.4</v>
      </c>
      <c r="B5" s="60"/>
      <c r="C5" s="52"/>
      <c r="D5" s="52"/>
      <c r="E5" s="53"/>
      <c r="F5" s="79" t="s">
        <v>143</v>
      </c>
      <c r="G5" s="35"/>
      <c r="H5" s="36">
        <v>35.99</v>
      </c>
      <c r="I5" s="28">
        <f>29.7+39.2</f>
        <v>68.900000000000006</v>
      </c>
      <c r="J5" s="37" t="e">
        <f>(I5/G5)*H5</f>
        <v>#DIV/0!</v>
      </c>
      <c r="K5" s="38" t="e">
        <f>((SUM(A5:E5)/G5)-(I5/G5))*39</f>
        <v>#DIV/0!</v>
      </c>
    </row>
    <row r="6" spans="1:18" x14ac:dyDescent="0.35">
      <c r="A6" s="17">
        <v>41.9</v>
      </c>
      <c r="B6" s="61"/>
      <c r="C6" s="15"/>
      <c r="D6" s="15"/>
      <c r="E6" s="54"/>
      <c r="F6" s="51" t="s">
        <v>152</v>
      </c>
      <c r="G6" s="35"/>
      <c r="H6" s="36">
        <v>33.99</v>
      </c>
      <c r="I6" s="17">
        <v>47.35</v>
      </c>
      <c r="J6" s="37" t="e">
        <f t="shared" ref="J6:J55" si="0">(I6/G6)*H6</f>
        <v>#DIV/0!</v>
      </c>
      <c r="K6" s="38" t="e">
        <f>((SUM(A6:E6)/G6)-(I6/G6))*26</f>
        <v>#DIV/0!</v>
      </c>
    </row>
    <row r="7" spans="1:18" x14ac:dyDescent="0.35">
      <c r="A7" s="17">
        <v>25.9</v>
      </c>
      <c r="B7" s="61"/>
      <c r="C7" s="15"/>
      <c r="D7" s="15"/>
      <c r="E7" s="54"/>
      <c r="F7" s="50" t="s">
        <v>144</v>
      </c>
      <c r="G7" s="35"/>
      <c r="H7" s="36">
        <v>33.99</v>
      </c>
      <c r="I7" s="17">
        <v>42.6</v>
      </c>
      <c r="J7" s="37" t="e">
        <f t="shared" si="0"/>
        <v>#DIV/0!</v>
      </c>
      <c r="K7" s="38" t="e">
        <f t="shared" ref="K7:K13" si="1">((SUM(A7:E7)/G7)-(I7/G7))*39</f>
        <v>#DIV/0!</v>
      </c>
    </row>
    <row r="8" spans="1:18" x14ac:dyDescent="0.35">
      <c r="A8" s="17"/>
      <c r="B8" s="61"/>
      <c r="C8" s="15"/>
      <c r="D8" s="15"/>
      <c r="E8" s="54"/>
      <c r="F8" s="51"/>
      <c r="G8" s="35"/>
      <c r="H8" s="36"/>
      <c r="I8" s="17"/>
      <c r="J8" s="37" t="e">
        <f t="shared" si="0"/>
        <v>#DIV/0!</v>
      </c>
      <c r="K8" s="38" t="e">
        <f t="shared" si="1"/>
        <v>#DIV/0!</v>
      </c>
    </row>
    <row r="9" spans="1:18" x14ac:dyDescent="0.35">
      <c r="A9" s="135" t="s">
        <v>73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8" x14ac:dyDescent="0.35">
      <c r="A10" s="17">
        <v>38.15</v>
      </c>
      <c r="B10" s="61"/>
      <c r="C10" s="15"/>
      <c r="D10" s="15"/>
      <c r="E10" s="54"/>
      <c r="F10" s="51" t="s">
        <v>145</v>
      </c>
      <c r="G10" s="35"/>
      <c r="H10" s="36">
        <v>44.99</v>
      </c>
      <c r="I10" s="17">
        <v>19.100000000000001</v>
      </c>
      <c r="J10" s="37" t="e">
        <f t="shared" si="0"/>
        <v>#DIV/0!</v>
      </c>
      <c r="K10" s="38" t="e">
        <f t="shared" si="1"/>
        <v>#DIV/0!</v>
      </c>
    </row>
    <row r="11" spans="1:18" x14ac:dyDescent="0.35">
      <c r="A11" s="17">
        <v>33.299999999999997</v>
      </c>
      <c r="B11" s="61"/>
      <c r="C11" s="15"/>
      <c r="D11" s="15"/>
      <c r="E11" s="54"/>
      <c r="F11" s="51" t="s">
        <v>146</v>
      </c>
      <c r="G11" s="35"/>
      <c r="H11" s="36"/>
      <c r="I11" s="17">
        <v>33.35</v>
      </c>
      <c r="J11" s="37" t="e">
        <f t="shared" si="0"/>
        <v>#DIV/0!</v>
      </c>
      <c r="K11" s="38" t="e">
        <f t="shared" si="1"/>
        <v>#DIV/0!</v>
      </c>
    </row>
    <row r="12" spans="1:18" x14ac:dyDescent="0.35">
      <c r="A12" s="17">
        <v>44.2</v>
      </c>
      <c r="B12" s="61"/>
      <c r="C12" s="15"/>
      <c r="D12" s="15"/>
      <c r="E12" s="54"/>
      <c r="F12" s="51" t="s">
        <v>147</v>
      </c>
      <c r="G12" s="35"/>
      <c r="H12" s="36">
        <v>53.99</v>
      </c>
      <c r="I12" s="17">
        <v>28.6</v>
      </c>
      <c r="J12" s="37" t="e">
        <f t="shared" si="0"/>
        <v>#DIV/0!</v>
      </c>
      <c r="K12" s="38" t="e">
        <f t="shared" si="1"/>
        <v>#DIV/0!</v>
      </c>
    </row>
    <row r="13" spans="1:18" x14ac:dyDescent="0.35">
      <c r="A13" s="17">
        <v>33.15</v>
      </c>
      <c r="B13" s="61"/>
      <c r="C13" s="15"/>
      <c r="D13" s="15"/>
      <c r="E13" s="54"/>
      <c r="F13" s="51" t="s">
        <v>148</v>
      </c>
      <c r="G13" s="35"/>
      <c r="H13" s="36">
        <v>88.99</v>
      </c>
      <c r="I13" s="17">
        <v>29.35</v>
      </c>
      <c r="J13" s="37" t="e">
        <f t="shared" si="0"/>
        <v>#DIV/0!</v>
      </c>
      <c r="K13" s="38" t="e">
        <f t="shared" si="1"/>
        <v>#DIV/0!</v>
      </c>
    </row>
    <row r="14" spans="1:18" x14ac:dyDescent="0.35">
      <c r="A14" s="135" t="s">
        <v>74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7"/>
    </row>
    <row r="15" spans="1:18" x14ac:dyDescent="0.35">
      <c r="A15" s="17">
        <v>47.05</v>
      </c>
      <c r="B15" s="61"/>
      <c r="C15" s="15"/>
      <c r="D15" s="15"/>
      <c r="E15" s="54"/>
      <c r="F15" s="51" t="s">
        <v>153</v>
      </c>
      <c r="G15" s="35"/>
      <c r="H15" s="36">
        <v>30.99</v>
      </c>
      <c r="I15" s="17">
        <v>44.15</v>
      </c>
      <c r="J15" s="37" t="e">
        <f t="shared" si="0"/>
        <v>#DIV/0!</v>
      </c>
      <c r="K15" s="38" t="e">
        <f>((SUM(A15:E15)/G15)-(I15/G15))*39</f>
        <v>#DIV/0!</v>
      </c>
    </row>
    <row r="16" spans="1:18" x14ac:dyDescent="0.35">
      <c r="A16" s="17">
        <v>30.95</v>
      </c>
      <c r="B16" s="61"/>
      <c r="C16" s="15"/>
      <c r="D16" s="15"/>
      <c r="E16" s="54"/>
      <c r="F16" s="51" t="s">
        <v>75</v>
      </c>
      <c r="G16" s="35">
        <v>47.6</v>
      </c>
      <c r="H16" s="36">
        <v>30.99</v>
      </c>
      <c r="I16" s="17">
        <f>47.6+25.7</f>
        <v>73.3</v>
      </c>
      <c r="J16" s="37">
        <f t="shared" si="0"/>
        <v>47.72199579831932</v>
      </c>
      <c r="K16" s="38">
        <f>((SUM(A16:E16)/G16)-(I16/G16))*39</f>
        <v>-34.698529411764703</v>
      </c>
    </row>
    <row r="17" spans="1:11" x14ac:dyDescent="0.35">
      <c r="A17" s="17">
        <v>31.9</v>
      </c>
      <c r="B17" s="61"/>
      <c r="C17" s="15"/>
      <c r="D17" s="15"/>
      <c r="E17" s="54"/>
      <c r="F17" s="51" t="s">
        <v>181</v>
      </c>
      <c r="G17" s="35"/>
      <c r="H17" s="36">
        <v>27.99</v>
      </c>
      <c r="I17" s="17">
        <v>61.85</v>
      </c>
      <c r="J17" s="37" t="e">
        <f t="shared" si="0"/>
        <v>#DIV/0!</v>
      </c>
      <c r="K17" s="38" t="e">
        <f>((SUM(A17:E17)/G17)-(I17/G17))*26</f>
        <v>#DIV/0!</v>
      </c>
    </row>
    <row r="18" spans="1:11" x14ac:dyDescent="0.35">
      <c r="A18" s="17">
        <v>51.7</v>
      </c>
      <c r="B18" s="61"/>
      <c r="C18" s="15"/>
      <c r="D18" s="15"/>
      <c r="E18" s="54"/>
      <c r="F18" s="51" t="s">
        <v>154</v>
      </c>
      <c r="G18" s="35"/>
      <c r="H18" s="36">
        <v>26.99</v>
      </c>
      <c r="I18" s="17">
        <v>56.1</v>
      </c>
      <c r="J18" s="37" t="e">
        <f t="shared" si="0"/>
        <v>#DIV/0!</v>
      </c>
      <c r="K18" s="38" t="e">
        <f>((SUM(A18:E18)/G18)-(I18/G18))*26</f>
        <v>#DIV/0!</v>
      </c>
    </row>
    <row r="19" spans="1:11" x14ac:dyDescent="0.35">
      <c r="A19" s="17">
        <v>44.15</v>
      </c>
      <c r="B19" s="61"/>
      <c r="C19" s="15"/>
      <c r="D19" s="15"/>
      <c r="E19" s="54"/>
      <c r="F19" s="51" t="s">
        <v>77</v>
      </c>
      <c r="G19" s="35"/>
      <c r="H19" s="36">
        <v>36.99</v>
      </c>
      <c r="I19" s="17">
        <v>35.049999999999997</v>
      </c>
      <c r="J19" s="37" t="e">
        <f t="shared" si="0"/>
        <v>#DIV/0!</v>
      </c>
      <c r="K19" s="38" t="e">
        <f t="shared" ref="K19:K26" si="2">((SUM(A19:E19)/G19)-(I19/G19))*39</f>
        <v>#DIV/0!</v>
      </c>
    </row>
    <row r="20" spans="1:11" x14ac:dyDescent="0.35">
      <c r="A20" s="17">
        <v>83.15</v>
      </c>
      <c r="B20" s="61"/>
      <c r="C20" s="15"/>
      <c r="D20" s="15"/>
      <c r="E20" s="54"/>
      <c r="F20" s="51" t="s">
        <v>155</v>
      </c>
      <c r="G20" s="35">
        <v>59.25</v>
      </c>
      <c r="H20" s="36">
        <v>22.99</v>
      </c>
      <c r="I20" s="17">
        <f>43.6+59.2</f>
        <v>102.80000000000001</v>
      </c>
      <c r="J20" s="37">
        <f t="shared" si="0"/>
        <v>39.88813502109705</v>
      </c>
      <c r="K20" s="38">
        <f t="shared" si="2"/>
        <v>-12.934177215189882</v>
      </c>
    </row>
    <row r="21" spans="1:11" x14ac:dyDescent="0.35">
      <c r="A21" s="17">
        <v>53.7</v>
      </c>
      <c r="B21" s="61"/>
      <c r="C21" s="15"/>
      <c r="D21" s="15"/>
      <c r="E21" s="54"/>
      <c r="F21" s="51" t="s">
        <v>156</v>
      </c>
      <c r="G21" s="35"/>
      <c r="H21" s="36">
        <v>36.99</v>
      </c>
      <c r="I21" s="17">
        <v>41.45</v>
      </c>
      <c r="J21" s="37" t="e">
        <f t="shared" si="0"/>
        <v>#DIV/0!</v>
      </c>
      <c r="K21" s="38" t="e">
        <f t="shared" si="2"/>
        <v>#DIV/0!</v>
      </c>
    </row>
    <row r="22" spans="1:11" x14ac:dyDescent="0.35">
      <c r="A22" s="138" t="s">
        <v>78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</row>
    <row r="23" spans="1:11" x14ac:dyDescent="0.35">
      <c r="A23" s="17">
        <v>27.65</v>
      </c>
      <c r="B23" s="61"/>
      <c r="C23" s="15"/>
      <c r="D23" s="15"/>
      <c r="E23" s="54"/>
      <c r="F23" s="51" t="s">
        <v>79</v>
      </c>
      <c r="G23" s="35">
        <v>45.75</v>
      </c>
      <c r="H23" s="36">
        <v>39.99</v>
      </c>
      <c r="I23" s="17">
        <f>40.45+45.75</f>
        <v>86.2</v>
      </c>
      <c r="J23" s="37">
        <f t="shared" si="0"/>
        <v>75.347278688524597</v>
      </c>
      <c r="K23" s="38">
        <f t="shared" si="2"/>
        <v>-49.911475409836065</v>
      </c>
    </row>
    <row r="24" spans="1:11" x14ac:dyDescent="0.35">
      <c r="A24" s="17">
        <v>36.299999999999997</v>
      </c>
      <c r="B24" s="61"/>
      <c r="C24" s="15"/>
      <c r="D24" s="15"/>
      <c r="E24" s="54"/>
      <c r="F24" s="51" t="s">
        <v>80</v>
      </c>
      <c r="G24" s="35"/>
      <c r="H24" s="36">
        <v>46.99</v>
      </c>
      <c r="I24" s="17">
        <v>29.95</v>
      </c>
      <c r="J24" s="37" t="e">
        <f t="shared" si="0"/>
        <v>#DIV/0!</v>
      </c>
      <c r="K24" s="38" t="e">
        <f t="shared" si="2"/>
        <v>#DIV/0!</v>
      </c>
    </row>
    <row r="25" spans="1:11" x14ac:dyDescent="0.35">
      <c r="A25" s="138" t="s">
        <v>81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1" x14ac:dyDescent="0.35">
      <c r="A26" s="17">
        <v>30.7</v>
      </c>
      <c r="B26" s="61"/>
      <c r="C26" s="15"/>
      <c r="D26" s="15"/>
      <c r="E26" s="54"/>
      <c r="F26" s="51" t="s">
        <v>149</v>
      </c>
      <c r="G26" s="35">
        <v>43.6</v>
      </c>
      <c r="H26" s="36">
        <v>23.99</v>
      </c>
      <c r="I26" s="17">
        <f>22+43.6</f>
        <v>65.599999999999994</v>
      </c>
      <c r="J26" s="37">
        <f t="shared" si="0"/>
        <v>36.095045871559627</v>
      </c>
      <c r="K26" s="38">
        <f t="shared" si="2"/>
        <v>-31.217889908256879</v>
      </c>
    </row>
    <row r="27" spans="1:11" x14ac:dyDescent="0.35">
      <c r="A27" s="17">
        <v>49.6</v>
      </c>
      <c r="B27" s="61"/>
      <c r="C27" s="15"/>
      <c r="D27" s="15"/>
      <c r="E27" s="54"/>
      <c r="F27" s="51" t="s">
        <v>82</v>
      </c>
      <c r="G27" s="35">
        <v>66.3</v>
      </c>
      <c r="H27" s="36">
        <v>29.99</v>
      </c>
      <c r="I27" s="17">
        <f>49.6+22.25+66.3</f>
        <v>138.14999999999998</v>
      </c>
      <c r="J27" s="37">
        <f t="shared" si="0"/>
        <v>62.490475113122159</v>
      </c>
      <c r="K27" s="38">
        <f>((SUM(A27:E27)/G27)-(I27/G27))*26</f>
        <v>-34.725490196078425</v>
      </c>
    </row>
    <row r="28" spans="1:11" x14ac:dyDescent="0.35">
      <c r="A28" s="17">
        <v>45.05</v>
      </c>
      <c r="B28" s="61"/>
      <c r="C28" s="15"/>
      <c r="D28" s="15"/>
      <c r="E28" s="54"/>
      <c r="F28" s="51" t="s">
        <v>83</v>
      </c>
      <c r="G28" s="35"/>
      <c r="H28" s="36">
        <v>26.99</v>
      </c>
      <c r="I28" s="17">
        <v>28.65</v>
      </c>
      <c r="J28" s="37" t="e">
        <f t="shared" si="0"/>
        <v>#DIV/0!</v>
      </c>
      <c r="K28" s="38" t="e">
        <f>((SUM(A28:E28)/G28)-(I28/G28))*26</f>
        <v>#DIV/0!</v>
      </c>
    </row>
    <row r="29" spans="1:11" x14ac:dyDescent="0.35">
      <c r="A29" s="17">
        <v>26.3</v>
      </c>
      <c r="B29" s="61"/>
      <c r="C29" s="15"/>
      <c r="D29" s="15"/>
      <c r="E29" s="54"/>
      <c r="F29" s="51" t="s">
        <v>84</v>
      </c>
      <c r="G29" s="35"/>
      <c r="H29" s="36">
        <v>49.99</v>
      </c>
      <c r="I29" s="17">
        <v>41.25</v>
      </c>
      <c r="J29" s="37" t="e">
        <f t="shared" si="0"/>
        <v>#DIV/0!</v>
      </c>
      <c r="K29" s="38" t="e">
        <f>((SUM(A29:E29)/G29)-(I29/G29))*26</f>
        <v>#DIV/0!</v>
      </c>
    </row>
    <row r="30" spans="1:11" x14ac:dyDescent="0.35">
      <c r="A30" s="17">
        <v>27.45</v>
      </c>
      <c r="B30" s="61"/>
      <c r="C30" s="15"/>
      <c r="D30" s="15"/>
      <c r="E30" s="54"/>
      <c r="F30" s="51" t="s">
        <v>85</v>
      </c>
      <c r="G30" s="35"/>
      <c r="H30" s="36">
        <v>28.99</v>
      </c>
      <c r="I30" s="17">
        <v>25.8</v>
      </c>
      <c r="J30" s="37" t="e">
        <f t="shared" si="0"/>
        <v>#DIV/0!</v>
      </c>
      <c r="K30" s="38" t="e">
        <f>((SUM(A30:E30)/G30)-(I30/G30))*39</f>
        <v>#DIV/0!</v>
      </c>
    </row>
    <row r="31" spans="1:11" x14ac:dyDescent="0.35">
      <c r="A31" s="138" t="s">
        <v>86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40"/>
    </row>
    <row r="32" spans="1:11" x14ac:dyDescent="0.35">
      <c r="A32" s="17">
        <v>21.6</v>
      </c>
      <c r="B32" s="55"/>
      <c r="C32" s="16"/>
      <c r="D32" s="16"/>
      <c r="E32" s="56"/>
      <c r="F32" s="51" t="s">
        <v>87</v>
      </c>
      <c r="G32" s="35"/>
      <c r="H32" s="36">
        <v>25.99</v>
      </c>
      <c r="I32" s="17"/>
      <c r="J32" s="37" t="e">
        <f t="shared" si="0"/>
        <v>#DIV/0!</v>
      </c>
      <c r="K32" s="38" t="e">
        <f>((SUM(A32:E32)/G32)-(I32/G32))*26</f>
        <v>#DIV/0!</v>
      </c>
    </row>
    <row r="33" spans="1:11" x14ac:dyDescent="0.35">
      <c r="A33" s="17">
        <v>42.65</v>
      </c>
      <c r="B33" s="55"/>
      <c r="C33" s="16"/>
      <c r="D33" s="16"/>
      <c r="E33" s="56"/>
      <c r="F33" s="51" t="s">
        <v>196</v>
      </c>
      <c r="G33" s="35"/>
      <c r="H33" s="36"/>
      <c r="I33" s="17">
        <v>18.350000000000001</v>
      </c>
      <c r="J33" s="37" t="e">
        <f t="shared" ref="J33" si="3">(I33/G33)*H33</f>
        <v>#DIV/0!</v>
      </c>
      <c r="K33" s="38" t="e">
        <f>((SUM(A33:E33)/G33)-(I33/G33))*26</f>
        <v>#DIV/0!</v>
      </c>
    </row>
    <row r="34" spans="1:11" x14ac:dyDescent="0.35">
      <c r="A34" s="17">
        <v>11.75</v>
      </c>
      <c r="B34" s="55"/>
      <c r="C34" s="16"/>
      <c r="D34" s="16"/>
      <c r="E34" s="56"/>
      <c r="F34" s="51" t="s">
        <v>182</v>
      </c>
      <c r="G34" s="35"/>
      <c r="H34" s="36">
        <v>23.99</v>
      </c>
      <c r="I34" s="17">
        <v>47.25</v>
      </c>
      <c r="J34" s="37" t="e">
        <f>(I34/G34)*H34</f>
        <v>#DIV/0!</v>
      </c>
      <c r="K34" s="38" t="e">
        <f>((SUM(A34:E34)/G34)-(I34/G34))*26</f>
        <v>#DIV/0!</v>
      </c>
    </row>
    <row r="35" spans="1:11" x14ac:dyDescent="0.35">
      <c r="A35" s="17">
        <f>45.1+40.8</f>
        <v>85.9</v>
      </c>
      <c r="B35" s="55"/>
      <c r="C35" s="16"/>
      <c r="D35" s="16"/>
      <c r="E35" s="56"/>
      <c r="F35" s="51" t="s">
        <v>184</v>
      </c>
      <c r="G35" s="35">
        <v>41.9</v>
      </c>
      <c r="H35" s="36">
        <v>25.99</v>
      </c>
      <c r="I35" s="17" t="s">
        <v>183</v>
      </c>
      <c r="J35" s="37" t="e">
        <f t="shared" si="0"/>
        <v>#VALUE!</v>
      </c>
      <c r="K35" s="38" t="e">
        <f>((SUM(A35:E35)/G35)-(I35/G35))*26</f>
        <v>#VALUE!</v>
      </c>
    </row>
    <row r="36" spans="1:11" x14ac:dyDescent="0.35">
      <c r="A36" s="17">
        <f>37.6+11.45</f>
        <v>49.05</v>
      </c>
      <c r="B36" s="55"/>
      <c r="C36" s="16"/>
      <c r="D36" s="16"/>
      <c r="E36" s="56"/>
      <c r="F36" s="51" t="s">
        <v>150</v>
      </c>
      <c r="G36" s="35"/>
      <c r="H36" s="36">
        <v>23.99</v>
      </c>
      <c r="I36" s="17">
        <v>28.55</v>
      </c>
      <c r="J36" s="37" t="e">
        <f t="shared" si="0"/>
        <v>#DIV/0!</v>
      </c>
      <c r="K36" s="38" t="e">
        <f>((SUM(A36:E36)/G36)-(I36/G36))*13</f>
        <v>#DIV/0!</v>
      </c>
    </row>
    <row r="37" spans="1:11" x14ac:dyDescent="0.35">
      <c r="A37" s="17"/>
      <c r="B37" s="76"/>
      <c r="C37" s="77"/>
      <c r="D37" s="77"/>
      <c r="E37" s="78"/>
      <c r="F37" s="51" t="s">
        <v>89</v>
      </c>
      <c r="G37" s="35"/>
      <c r="H37" s="36">
        <v>22.99</v>
      </c>
      <c r="I37" s="17">
        <v>37.5</v>
      </c>
      <c r="J37" s="37" t="e">
        <f t="shared" si="0"/>
        <v>#DIV/0!</v>
      </c>
      <c r="K37" s="38" t="e">
        <f>((SUM(A37:E37)/G37)-(I37/G37))*39</f>
        <v>#DIV/0!</v>
      </c>
    </row>
    <row r="38" spans="1:11" x14ac:dyDescent="0.35">
      <c r="A38" s="141" t="s">
        <v>90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3"/>
    </row>
    <row r="39" spans="1:11" x14ac:dyDescent="0.35">
      <c r="A39" s="17">
        <v>34.65</v>
      </c>
      <c r="B39" s="55"/>
      <c r="C39" s="16"/>
      <c r="D39" s="16"/>
      <c r="E39" s="56"/>
      <c r="F39" s="50" t="s">
        <v>92</v>
      </c>
      <c r="G39" s="35">
        <v>61.95</v>
      </c>
      <c r="H39" s="36">
        <v>34.99</v>
      </c>
      <c r="I39" s="17">
        <f>61.95+25.8+33.7</f>
        <v>121.45</v>
      </c>
      <c r="J39" s="37">
        <f t="shared" si="0"/>
        <v>68.596214689265537</v>
      </c>
      <c r="K39" s="38">
        <f t="shared" ref="K39:K55" si="4">((SUM(A39:E39)/G39)-(I39/G39))*39</f>
        <v>-54.644067796610166</v>
      </c>
    </row>
    <row r="40" spans="1:11" x14ac:dyDescent="0.35">
      <c r="A40" s="17">
        <v>34.15</v>
      </c>
      <c r="B40" s="55"/>
      <c r="C40" s="16"/>
      <c r="D40" s="16"/>
      <c r="E40" s="56"/>
      <c r="F40" s="50" t="s">
        <v>163</v>
      </c>
      <c r="G40" s="35"/>
      <c r="H40" s="36"/>
      <c r="I40" s="17">
        <v>28.7</v>
      </c>
      <c r="J40" s="37" t="e">
        <f t="shared" ref="J40:J41" si="5">(I40/G40)*H40</f>
        <v>#DIV/0!</v>
      </c>
      <c r="K40" s="38" t="e">
        <f t="shared" ref="K40:K41" si="6">((SUM(A40:E40)/G40)-(I40/G40))*39</f>
        <v>#DIV/0!</v>
      </c>
    </row>
    <row r="41" spans="1:11" x14ac:dyDescent="0.35">
      <c r="A41" s="17">
        <v>38</v>
      </c>
      <c r="B41" s="55"/>
      <c r="C41" s="16"/>
      <c r="D41" s="16"/>
      <c r="E41" s="56"/>
      <c r="F41" s="50" t="s">
        <v>160</v>
      </c>
      <c r="G41" s="35"/>
      <c r="H41" s="36">
        <v>34.99</v>
      </c>
      <c r="I41" s="17"/>
      <c r="J41" s="37" t="e">
        <f t="shared" si="5"/>
        <v>#DIV/0!</v>
      </c>
      <c r="K41" s="38" t="e">
        <f t="shared" si="6"/>
        <v>#DIV/0!</v>
      </c>
    </row>
    <row r="42" spans="1:11" x14ac:dyDescent="0.35">
      <c r="A42" s="17">
        <f>49.45+50.65</f>
        <v>100.1</v>
      </c>
      <c r="B42" s="55"/>
      <c r="C42" s="16"/>
      <c r="D42" s="16"/>
      <c r="E42" s="56"/>
      <c r="F42" s="50" t="s">
        <v>91</v>
      </c>
      <c r="G42" s="35">
        <v>51.75</v>
      </c>
      <c r="H42" s="36">
        <v>59.99</v>
      </c>
      <c r="I42" s="17">
        <f>51.75+50.6+37.8</f>
        <v>140.14999999999998</v>
      </c>
      <c r="J42" s="37">
        <f t="shared" si="0"/>
        <v>162.46567149758451</v>
      </c>
      <c r="K42" s="38">
        <f t="shared" si="4"/>
        <v>-30.182608695652156</v>
      </c>
    </row>
    <row r="43" spans="1:11" x14ac:dyDescent="0.35">
      <c r="A43" s="17">
        <v>23.25</v>
      </c>
      <c r="B43" s="55"/>
      <c r="C43" s="16"/>
      <c r="D43" s="16"/>
      <c r="E43" s="56"/>
      <c r="F43" s="50" t="s">
        <v>151</v>
      </c>
      <c r="G43" s="35"/>
      <c r="H43" s="36">
        <v>29.99</v>
      </c>
      <c r="I43" s="17"/>
      <c r="J43" s="37" t="e">
        <f t="shared" si="0"/>
        <v>#DIV/0!</v>
      </c>
      <c r="K43" s="38" t="e">
        <f t="shared" si="4"/>
        <v>#DIV/0!</v>
      </c>
    </row>
    <row r="44" spans="1:11" x14ac:dyDescent="0.35">
      <c r="A44" s="138" t="s">
        <v>93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40"/>
    </row>
    <row r="45" spans="1:11" x14ac:dyDescent="0.35">
      <c r="A45" s="17">
        <v>43.3</v>
      </c>
      <c r="B45" s="55"/>
      <c r="C45" s="16"/>
      <c r="D45" s="16"/>
      <c r="E45" s="56"/>
      <c r="F45" s="50" t="s">
        <v>94</v>
      </c>
      <c r="G45" s="35"/>
      <c r="H45" s="36">
        <v>26.99</v>
      </c>
      <c r="I45" s="17">
        <v>30.6</v>
      </c>
      <c r="J45" s="37" t="e">
        <f t="shared" si="0"/>
        <v>#DIV/0!</v>
      </c>
      <c r="K45" s="38" t="e">
        <f t="shared" si="4"/>
        <v>#DIV/0!</v>
      </c>
    </row>
    <row r="46" spans="1:11" x14ac:dyDescent="0.35">
      <c r="A46" s="17">
        <v>23.2</v>
      </c>
      <c r="B46" s="55"/>
      <c r="C46" s="16"/>
      <c r="D46" s="16"/>
      <c r="E46" s="56"/>
      <c r="F46" s="50" t="s">
        <v>95</v>
      </c>
      <c r="G46" s="35"/>
      <c r="H46" s="36">
        <v>28.99</v>
      </c>
      <c r="I46" s="17">
        <v>20.05</v>
      </c>
      <c r="J46" s="37" t="e">
        <f t="shared" si="0"/>
        <v>#DIV/0!</v>
      </c>
      <c r="K46" s="38" t="e">
        <f t="shared" si="4"/>
        <v>#DIV/0!</v>
      </c>
    </row>
    <row r="47" spans="1:11" x14ac:dyDescent="0.35">
      <c r="A47" s="17">
        <f>34.7+36.6</f>
        <v>71.300000000000011</v>
      </c>
      <c r="B47" s="55"/>
      <c r="C47" s="16"/>
      <c r="D47" s="16"/>
      <c r="E47" s="56"/>
      <c r="F47" s="50" t="s">
        <v>69</v>
      </c>
      <c r="G47" s="35"/>
      <c r="H47" s="36">
        <v>44.99</v>
      </c>
      <c r="I47" s="17"/>
      <c r="J47" s="37" t="e">
        <f t="shared" si="0"/>
        <v>#DIV/0!</v>
      </c>
      <c r="K47" s="38" t="e">
        <f t="shared" si="4"/>
        <v>#DIV/0!</v>
      </c>
    </row>
    <row r="48" spans="1:11" x14ac:dyDescent="0.35">
      <c r="A48" s="17">
        <f>8.35+40.15</f>
        <v>48.5</v>
      </c>
      <c r="B48" s="55"/>
      <c r="C48" s="16"/>
      <c r="D48" s="16"/>
      <c r="E48" s="56"/>
      <c r="F48" s="50" t="s">
        <v>96</v>
      </c>
      <c r="G48" s="35">
        <v>61.3</v>
      </c>
      <c r="H48" s="36">
        <v>20.99</v>
      </c>
      <c r="I48" s="17">
        <f>61.3+61.3+27.15</f>
        <v>149.75</v>
      </c>
      <c r="J48" s="37">
        <f t="shared" si="0"/>
        <v>51.276549755301787</v>
      </c>
      <c r="K48" s="38">
        <f t="shared" si="4"/>
        <v>-64.416802610114189</v>
      </c>
    </row>
    <row r="49" spans="1:11" x14ac:dyDescent="0.35">
      <c r="A49" s="17">
        <v>43.65</v>
      </c>
      <c r="B49" s="55"/>
      <c r="C49" s="16"/>
      <c r="D49" s="16"/>
      <c r="E49" s="56"/>
      <c r="F49" s="50" t="s">
        <v>97</v>
      </c>
      <c r="G49" s="35"/>
      <c r="H49" s="36">
        <v>27.99</v>
      </c>
      <c r="I49" s="17">
        <v>41.7</v>
      </c>
      <c r="J49" s="37" t="e">
        <f t="shared" si="0"/>
        <v>#DIV/0!</v>
      </c>
      <c r="K49" s="38" t="e">
        <f t="shared" si="4"/>
        <v>#DIV/0!</v>
      </c>
    </row>
    <row r="50" spans="1:11" x14ac:dyDescent="0.35">
      <c r="A50" s="17">
        <v>40.1</v>
      </c>
      <c r="B50" s="55"/>
      <c r="C50" s="16"/>
      <c r="D50" s="16"/>
      <c r="E50" s="56"/>
      <c r="F50" s="50" t="s">
        <v>98</v>
      </c>
      <c r="G50" s="35"/>
      <c r="H50" s="36">
        <v>27.99</v>
      </c>
      <c r="I50" s="17">
        <f>42.45+36.8</f>
        <v>79.25</v>
      </c>
      <c r="J50" s="37" t="e">
        <f t="shared" si="0"/>
        <v>#DIV/0!</v>
      </c>
      <c r="K50" s="38" t="e">
        <f t="shared" si="4"/>
        <v>#DIV/0!</v>
      </c>
    </row>
    <row r="51" spans="1:11" x14ac:dyDescent="0.35">
      <c r="A51" s="17">
        <v>21.2</v>
      </c>
      <c r="B51" s="55"/>
      <c r="C51" s="16"/>
      <c r="D51" s="16"/>
      <c r="E51" s="56"/>
      <c r="F51" s="50" t="s">
        <v>158</v>
      </c>
      <c r="G51" s="35">
        <v>42.45</v>
      </c>
      <c r="H51" s="36">
        <v>27.99</v>
      </c>
      <c r="I51" s="17">
        <f>42.45+21.15+42.6</f>
        <v>106.2</v>
      </c>
      <c r="J51" s="37">
        <f t="shared" si="0"/>
        <v>70.024452296819788</v>
      </c>
      <c r="K51" s="38">
        <f t="shared" si="4"/>
        <v>-78.091872791519435</v>
      </c>
    </row>
    <row r="52" spans="1:11" x14ac:dyDescent="0.35">
      <c r="A52" s="17">
        <v>26.4</v>
      </c>
      <c r="B52" s="55"/>
      <c r="C52" s="16"/>
      <c r="D52" s="16"/>
      <c r="E52" s="56"/>
      <c r="F52" s="50" t="s">
        <v>159</v>
      </c>
      <c r="G52" s="35"/>
      <c r="H52" s="36">
        <v>31.99</v>
      </c>
      <c r="I52" s="17"/>
      <c r="J52" s="37" t="e">
        <f t="shared" si="0"/>
        <v>#DIV/0!</v>
      </c>
      <c r="K52" s="38" t="e">
        <f t="shared" si="4"/>
        <v>#DIV/0!</v>
      </c>
    </row>
    <row r="53" spans="1:11" x14ac:dyDescent="0.35">
      <c r="A53" s="17">
        <v>26.2</v>
      </c>
      <c r="B53" s="55"/>
      <c r="C53" s="16"/>
      <c r="D53" s="16"/>
      <c r="E53" s="56"/>
      <c r="F53" s="50" t="s">
        <v>176</v>
      </c>
      <c r="G53" s="35"/>
      <c r="H53" s="36"/>
      <c r="I53" s="17"/>
      <c r="J53" s="37" t="e">
        <f t="shared" si="0"/>
        <v>#DIV/0!</v>
      </c>
      <c r="K53" s="38" t="e">
        <f t="shared" si="4"/>
        <v>#DIV/0!</v>
      </c>
    </row>
    <row r="54" spans="1:11" x14ac:dyDescent="0.35">
      <c r="A54" s="17">
        <v>43</v>
      </c>
      <c r="B54" s="55"/>
      <c r="C54" s="16"/>
      <c r="D54" s="16"/>
      <c r="E54" s="56"/>
      <c r="F54" s="50" t="s">
        <v>180</v>
      </c>
      <c r="G54" s="35">
        <v>48.45</v>
      </c>
      <c r="H54" s="36"/>
      <c r="I54" s="17"/>
      <c r="J54" s="37">
        <f t="shared" si="0"/>
        <v>0</v>
      </c>
      <c r="K54" s="38">
        <f t="shared" si="4"/>
        <v>34.61300309597523</v>
      </c>
    </row>
    <row r="55" spans="1:11" ht="15" thickBot="1" x14ac:dyDescent="0.4">
      <c r="A55" s="17"/>
      <c r="B55" s="57"/>
      <c r="C55" s="58"/>
      <c r="D55" s="58"/>
      <c r="E55" s="59"/>
      <c r="F55" s="50"/>
      <c r="G55" s="35"/>
      <c r="H55" s="36"/>
      <c r="I55" s="17"/>
      <c r="J55" s="37" t="e">
        <f t="shared" si="0"/>
        <v>#DIV/0!</v>
      </c>
      <c r="K55" s="38" t="e">
        <f t="shared" si="4"/>
        <v>#DIV/0!</v>
      </c>
    </row>
    <row r="56" spans="1:11" ht="20.149999999999999" customHeight="1" thickBot="1" x14ac:dyDescent="0.6">
      <c r="A56" s="130" t="s">
        <v>9</v>
      </c>
      <c r="B56" s="131"/>
      <c r="C56" s="131"/>
      <c r="D56" s="131"/>
      <c r="E56" s="131"/>
      <c r="F56" s="132"/>
      <c r="G56" s="132"/>
      <c r="H56" s="132"/>
      <c r="I56" s="133"/>
      <c r="J56" s="126">
        <v>1713.9906492157534</v>
      </c>
      <c r="K56" s="88"/>
    </row>
    <row r="57" spans="1:11" ht="20.149999999999999" customHeight="1" thickBot="1" x14ac:dyDescent="0.6">
      <c r="A57" s="130" t="s">
        <v>10</v>
      </c>
      <c r="B57" s="132"/>
      <c r="C57" s="132"/>
      <c r="D57" s="132"/>
      <c r="E57" s="132"/>
      <c r="F57" s="132"/>
      <c r="G57" s="132"/>
      <c r="H57" s="132"/>
      <c r="I57" s="134"/>
      <c r="J57" s="122">
        <v>0</v>
      </c>
      <c r="K57" s="90"/>
    </row>
    <row r="58" spans="1:11" ht="20.149999999999999" customHeight="1" thickBot="1" x14ac:dyDescent="0.6">
      <c r="A58" s="130" t="s">
        <v>55</v>
      </c>
      <c r="B58" s="132"/>
      <c r="C58" s="132"/>
      <c r="D58" s="132"/>
      <c r="E58" s="132"/>
      <c r="F58" s="132"/>
      <c r="G58" s="132"/>
      <c r="H58" s="132"/>
      <c r="I58" s="134"/>
      <c r="J58" s="89">
        <v>0</v>
      </c>
      <c r="K58" s="90"/>
    </row>
    <row r="59" spans="1:11" ht="20.149999999999999" customHeight="1" thickBot="1" x14ac:dyDescent="0.6">
      <c r="A59" s="130" t="s">
        <v>11</v>
      </c>
      <c r="B59" s="132"/>
      <c r="C59" s="132"/>
      <c r="D59" s="132"/>
      <c r="E59" s="132"/>
      <c r="F59" s="132"/>
      <c r="G59" s="132"/>
      <c r="H59" s="132"/>
      <c r="I59" s="134"/>
      <c r="J59" s="126" t="e">
        <f>SUM(J5:J55)</f>
        <v>#DIV/0!</v>
      </c>
      <c r="K59" s="88"/>
    </row>
    <row r="60" spans="1:11" ht="20.149999999999999" customHeight="1" thickBot="1" x14ac:dyDescent="0.6">
      <c r="A60" s="109" t="s">
        <v>12</v>
      </c>
      <c r="B60" s="110"/>
      <c r="C60" s="110"/>
      <c r="D60" s="110"/>
      <c r="E60" s="110"/>
      <c r="F60" s="110"/>
      <c r="G60" s="110"/>
      <c r="H60" s="110"/>
      <c r="I60" s="111"/>
      <c r="J60" s="122">
        <v>798.75</v>
      </c>
      <c r="K60" s="90"/>
    </row>
    <row r="61" spans="1:11" ht="20.149999999999999" customHeight="1" thickBot="1" x14ac:dyDescent="0.6">
      <c r="A61" s="123" t="s">
        <v>13</v>
      </c>
      <c r="B61" s="124"/>
      <c r="C61" s="124"/>
      <c r="D61" s="124"/>
      <c r="E61" s="124"/>
      <c r="F61" s="124"/>
      <c r="G61" s="124"/>
      <c r="H61" s="124"/>
      <c r="I61" s="125"/>
      <c r="J61" s="126" t="e">
        <f>J56+J57+J58-J59</f>
        <v>#DIV/0!</v>
      </c>
      <c r="K61" s="88"/>
    </row>
    <row r="62" spans="1:11" ht="20.149999999999999" customHeight="1" thickBot="1" x14ac:dyDescent="0.6">
      <c r="A62" s="109" t="s">
        <v>14</v>
      </c>
      <c r="B62" s="110"/>
      <c r="C62" s="110"/>
      <c r="D62" s="110"/>
      <c r="E62" s="110"/>
      <c r="F62" s="110"/>
      <c r="G62" s="110"/>
      <c r="H62" s="110"/>
      <c r="I62" s="111"/>
      <c r="J62" s="144" t="e">
        <f>J61/J60</f>
        <v>#DIV/0!</v>
      </c>
      <c r="K62" s="113"/>
    </row>
    <row r="63" spans="1:11" ht="20.149999999999999" customHeight="1" thickBot="1" x14ac:dyDescent="0.6">
      <c r="A63" s="109" t="s">
        <v>56</v>
      </c>
      <c r="B63" s="110"/>
      <c r="C63" s="110"/>
      <c r="D63" s="110"/>
      <c r="E63" s="110"/>
      <c r="F63" s="110"/>
      <c r="G63" s="110"/>
      <c r="H63" s="110"/>
      <c r="I63" s="111"/>
      <c r="J63" s="144" t="e">
        <f>((F223+F224+F226-J59)/F225)</f>
        <v>#DIV/0!</v>
      </c>
      <c r="K63" s="113"/>
    </row>
    <row r="64" spans="1:11" x14ac:dyDescent="0.35">
      <c r="A64" s="117" t="s">
        <v>0</v>
      </c>
      <c r="B64" s="119" t="s">
        <v>1</v>
      </c>
      <c r="C64" s="119"/>
      <c r="D64" s="119"/>
      <c r="E64" s="119"/>
      <c r="F64" s="94" t="s">
        <v>2</v>
      </c>
      <c r="G64" s="94" t="s">
        <v>3</v>
      </c>
      <c r="H64" s="94" t="s">
        <v>4</v>
      </c>
      <c r="I64" s="94" t="s">
        <v>5</v>
      </c>
      <c r="J64" s="94" t="s">
        <v>6</v>
      </c>
      <c r="K64" s="96" t="s">
        <v>7</v>
      </c>
    </row>
    <row r="65" spans="1:16" ht="20.149999999999999" customHeight="1" x14ac:dyDescent="0.35">
      <c r="A65" s="118"/>
      <c r="B65" s="27">
        <v>1</v>
      </c>
      <c r="C65" s="27">
        <v>2</v>
      </c>
      <c r="D65" s="27">
        <v>3</v>
      </c>
      <c r="E65" s="27">
        <v>4</v>
      </c>
      <c r="F65" s="95"/>
      <c r="G65" s="95"/>
      <c r="H65" s="95"/>
      <c r="I65" s="95"/>
      <c r="J65" s="95"/>
      <c r="K65" s="97"/>
    </row>
    <row r="66" spans="1:16" ht="24" thickBot="1" x14ac:dyDescent="0.6">
      <c r="A66" s="98" t="s">
        <v>122</v>
      </c>
      <c r="B66" s="99"/>
      <c r="C66" s="99"/>
      <c r="D66" s="99"/>
      <c r="E66" s="99"/>
      <c r="F66" s="99"/>
      <c r="G66" s="99"/>
      <c r="H66" s="99"/>
      <c r="I66" s="99"/>
      <c r="J66" s="100"/>
      <c r="K66" s="101"/>
    </row>
    <row r="67" spans="1:16" x14ac:dyDescent="0.35">
      <c r="A67" s="62">
        <v>34.5</v>
      </c>
      <c r="B67" s="14"/>
      <c r="C67" s="14"/>
      <c r="D67" s="14"/>
      <c r="E67" s="14"/>
      <c r="F67" s="34" t="s">
        <v>138</v>
      </c>
      <c r="G67" s="35"/>
      <c r="H67" s="36">
        <v>22.99</v>
      </c>
      <c r="I67" s="28">
        <f>17.9</f>
        <v>17.899999999999999</v>
      </c>
      <c r="J67" s="39">
        <f>I67*H67</f>
        <v>411.52099999999996</v>
      </c>
      <c r="K67" s="40">
        <f>(SUM(A67:E67))-I67</f>
        <v>16.600000000000001</v>
      </c>
      <c r="O67" s="49"/>
      <c r="P67" s="49"/>
    </row>
    <row r="68" spans="1:16" x14ac:dyDescent="0.35">
      <c r="A68" s="62"/>
      <c r="B68" s="14"/>
      <c r="C68" s="14"/>
      <c r="D68" s="14"/>
      <c r="E68" s="14"/>
      <c r="F68" s="34" t="s">
        <v>179</v>
      </c>
      <c r="G68" s="35">
        <v>69.75</v>
      </c>
      <c r="H68" s="36">
        <v>39.99</v>
      </c>
      <c r="I68" s="28">
        <v>46.7</v>
      </c>
      <c r="J68" s="39">
        <f>I68*H68</f>
        <v>1867.5330000000001</v>
      </c>
      <c r="K68" s="40">
        <f>(SUM(A68:E68))-I68</f>
        <v>-46.7</v>
      </c>
      <c r="O68" s="49"/>
      <c r="P68" s="49"/>
    </row>
    <row r="69" spans="1:16" x14ac:dyDescent="0.35">
      <c r="A69" s="62"/>
      <c r="B69" s="14"/>
      <c r="C69" s="14"/>
      <c r="D69" s="14"/>
      <c r="E69" s="14"/>
      <c r="F69" s="34" t="s">
        <v>126</v>
      </c>
      <c r="G69" s="35">
        <v>49.65</v>
      </c>
      <c r="H69" s="36">
        <v>24.99</v>
      </c>
      <c r="I69" s="28">
        <v>41.05</v>
      </c>
      <c r="J69" s="39">
        <f t="shared" ref="J69:J96" si="7">I69*H69</f>
        <v>1025.8394999999998</v>
      </c>
      <c r="K69" s="40">
        <f t="shared" ref="K69:K96" si="8">(SUM(A69:E69))-I69</f>
        <v>-41.05</v>
      </c>
      <c r="O69" s="49"/>
      <c r="P69" s="49"/>
    </row>
    <row r="70" spans="1:16" x14ac:dyDescent="0.35">
      <c r="A70" s="62"/>
      <c r="B70" s="14"/>
      <c r="C70" s="14"/>
      <c r="D70" s="14"/>
      <c r="E70" s="14"/>
      <c r="F70" s="34" t="s">
        <v>124</v>
      </c>
      <c r="G70" s="35">
        <v>41.9</v>
      </c>
      <c r="H70" s="36">
        <v>20.99</v>
      </c>
      <c r="I70" s="28">
        <v>34.85</v>
      </c>
      <c r="J70" s="39">
        <f t="shared" si="7"/>
        <v>731.50149999999996</v>
      </c>
      <c r="K70" s="40">
        <f t="shared" si="8"/>
        <v>-34.85</v>
      </c>
      <c r="O70" s="49"/>
      <c r="P70" s="49"/>
    </row>
    <row r="71" spans="1:16" x14ac:dyDescent="0.35">
      <c r="A71" s="62"/>
      <c r="B71" s="14"/>
      <c r="C71" s="14"/>
      <c r="D71" s="14"/>
      <c r="E71" s="14"/>
      <c r="F71" s="34" t="s">
        <v>125</v>
      </c>
      <c r="G71" s="35">
        <v>41.9</v>
      </c>
      <c r="H71" s="36">
        <v>20.99</v>
      </c>
      <c r="I71" s="28">
        <v>31.5</v>
      </c>
      <c r="J71" s="39">
        <f t="shared" si="7"/>
        <v>661.18499999999995</v>
      </c>
      <c r="K71" s="40">
        <f t="shared" si="8"/>
        <v>-31.5</v>
      </c>
      <c r="O71" s="49"/>
      <c r="P71" s="49"/>
    </row>
    <row r="72" spans="1:16" x14ac:dyDescent="0.35">
      <c r="A72" s="62"/>
      <c r="B72" s="14"/>
      <c r="C72" s="14"/>
      <c r="D72" s="14"/>
      <c r="E72" s="14"/>
      <c r="F72" s="34" t="s">
        <v>123</v>
      </c>
      <c r="G72" s="35">
        <v>41.9</v>
      </c>
      <c r="H72" s="36">
        <v>21.99</v>
      </c>
      <c r="I72" s="28">
        <f>41.9+16.65</f>
        <v>58.55</v>
      </c>
      <c r="J72" s="39">
        <f t="shared" si="7"/>
        <v>1287.5144999999998</v>
      </c>
      <c r="K72" s="40">
        <f t="shared" si="8"/>
        <v>-58.55</v>
      </c>
      <c r="O72" s="49"/>
      <c r="P72" s="49"/>
    </row>
    <row r="73" spans="1:16" x14ac:dyDescent="0.35">
      <c r="A73" s="62"/>
      <c r="B73" s="14"/>
      <c r="C73" s="14"/>
      <c r="D73" s="14"/>
      <c r="E73" s="14"/>
      <c r="F73" s="34" t="s">
        <v>129</v>
      </c>
      <c r="G73" s="35"/>
      <c r="H73" s="36">
        <v>41.99</v>
      </c>
      <c r="I73" s="28">
        <v>48.45</v>
      </c>
      <c r="J73" s="39">
        <f t="shared" si="7"/>
        <v>2034.4155000000003</v>
      </c>
      <c r="K73" s="40">
        <f t="shared" si="8"/>
        <v>-48.45</v>
      </c>
      <c r="O73" s="49"/>
      <c r="P73" s="49"/>
    </row>
    <row r="74" spans="1:16" x14ac:dyDescent="0.35">
      <c r="A74" s="62"/>
      <c r="B74" s="14"/>
      <c r="C74" s="14"/>
      <c r="D74" s="14"/>
      <c r="E74" s="14"/>
      <c r="F74" s="34" t="s">
        <v>127</v>
      </c>
      <c r="G74" s="35">
        <v>49.4</v>
      </c>
      <c r="H74" s="36">
        <v>20.99</v>
      </c>
      <c r="I74" s="28"/>
      <c r="J74" s="39">
        <f t="shared" si="7"/>
        <v>0</v>
      </c>
      <c r="K74" s="40">
        <f t="shared" si="8"/>
        <v>0</v>
      </c>
      <c r="O74" s="49"/>
      <c r="P74" s="49"/>
    </row>
    <row r="75" spans="1:16" x14ac:dyDescent="0.35">
      <c r="A75" s="62"/>
      <c r="B75" s="14"/>
      <c r="C75" s="14"/>
      <c r="D75" s="14"/>
      <c r="E75" s="14"/>
      <c r="F75" s="34" t="s">
        <v>70</v>
      </c>
      <c r="G75" s="35">
        <v>50.65</v>
      </c>
      <c r="H75" s="36">
        <v>32.99</v>
      </c>
      <c r="I75" s="28">
        <f>50.9+33.95</f>
        <v>84.85</v>
      </c>
      <c r="J75" s="39">
        <f t="shared" si="7"/>
        <v>2799.2015000000001</v>
      </c>
      <c r="K75" s="40">
        <f t="shared" si="8"/>
        <v>-84.85</v>
      </c>
      <c r="O75" s="49"/>
      <c r="P75" s="49"/>
    </row>
    <row r="76" spans="1:16" x14ac:dyDescent="0.35">
      <c r="A76" s="62"/>
      <c r="B76" s="14"/>
      <c r="C76" s="14"/>
      <c r="D76" s="14"/>
      <c r="E76" s="14"/>
      <c r="F76" s="34" t="s">
        <v>128</v>
      </c>
      <c r="G76" s="35">
        <v>50.45</v>
      </c>
      <c r="H76" s="36">
        <v>24.99</v>
      </c>
      <c r="I76" s="28">
        <f>50.45+48.5</f>
        <v>98.95</v>
      </c>
      <c r="J76" s="39">
        <f t="shared" si="7"/>
        <v>2472.7604999999999</v>
      </c>
      <c r="K76" s="40">
        <f t="shared" si="8"/>
        <v>-98.95</v>
      </c>
      <c r="O76" s="49"/>
      <c r="P76" s="49"/>
    </row>
    <row r="77" spans="1:16" x14ac:dyDescent="0.35">
      <c r="A77" s="62"/>
      <c r="B77" s="14"/>
      <c r="C77" s="14"/>
      <c r="D77" s="14"/>
      <c r="E77" s="14"/>
      <c r="F77" s="34" t="s">
        <v>67</v>
      </c>
      <c r="G77" s="35">
        <v>53.7</v>
      </c>
      <c r="H77" s="36">
        <v>27.99</v>
      </c>
      <c r="I77" s="28">
        <f>44.05</f>
        <v>44.05</v>
      </c>
      <c r="J77" s="39">
        <f t="shared" si="7"/>
        <v>1232.9594999999999</v>
      </c>
      <c r="K77" s="40">
        <f t="shared" si="8"/>
        <v>-44.05</v>
      </c>
      <c r="O77" s="49"/>
      <c r="P77" s="49"/>
    </row>
    <row r="78" spans="1:16" x14ac:dyDescent="0.35">
      <c r="A78" s="62"/>
      <c r="B78" s="14"/>
      <c r="C78" s="14"/>
      <c r="D78" s="14"/>
      <c r="E78" s="14"/>
      <c r="F78" s="34" t="s">
        <v>131</v>
      </c>
      <c r="G78" s="35">
        <v>49.5</v>
      </c>
      <c r="H78" s="36">
        <v>39.99</v>
      </c>
      <c r="I78" s="28">
        <f>49.5+30.95</f>
        <v>80.45</v>
      </c>
      <c r="J78" s="39">
        <f t="shared" si="7"/>
        <v>3217.1955000000003</v>
      </c>
      <c r="K78" s="40">
        <f t="shared" si="8"/>
        <v>-80.45</v>
      </c>
      <c r="O78" s="49"/>
      <c r="P78" s="49"/>
    </row>
    <row r="79" spans="1:16" x14ac:dyDescent="0.35">
      <c r="A79" s="62"/>
      <c r="B79" s="14"/>
      <c r="C79" s="14"/>
      <c r="D79" s="14"/>
      <c r="E79" s="14"/>
      <c r="F79" s="34" t="s">
        <v>161</v>
      </c>
      <c r="G79" s="35">
        <v>59.45</v>
      </c>
      <c r="H79" s="36">
        <v>38.99</v>
      </c>
      <c r="I79" s="28">
        <f>59.5+53.05</f>
        <v>112.55</v>
      </c>
      <c r="J79" s="39">
        <f t="shared" si="7"/>
        <v>4388.3244999999997</v>
      </c>
      <c r="K79" s="40">
        <f t="shared" si="8"/>
        <v>-112.55</v>
      </c>
      <c r="O79" s="49"/>
      <c r="P79" s="49"/>
    </row>
    <row r="80" spans="1:16" x14ac:dyDescent="0.35">
      <c r="A80" s="62"/>
      <c r="B80" s="14"/>
      <c r="C80" s="14"/>
      <c r="D80" s="14"/>
      <c r="E80" s="14"/>
      <c r="F80" s="34" t="s">
        <v>133</v>
      </c>
      <c r="G80" s="35">
        <v>54.55</v>
      </c>
      <c r="H80" s="36"/>
      <c r="I80" s="28">
        <f>54.55+54.55+23.65</f>
        <v>132.75</v>
      </c>
      <c r="J80" s="39">
        <f t="shared" si="7"/>
        <v>0</v>
      </c>
      <c r="K80" s="40">
        <f t="shared" si="8"/>
        <v>-132.75</v>
      </c>
      <c r="O80" s="49"/>
      <c r="P80" s="49"/>
    </row>
    <row r="81" spans="1:16" x14ac:dyDescent="0.35">
      <c r="A81" s="62"/>
      <c r="B81" s="14"/>
      <c r="C81" s="14"/>
      <c r="D81" s="14"/>
      <c r="E81" s="14"/>
      <c r="F81" s="34" t="s">
        <v>185</v>
      </c>
      <c r="G81" s="35">
        <v>41.4</v>
      </c>
      <c r="H81" s="36">
        <v>33.99</v>
      </c>
      <c r="I81" s="28">
        <f>41.4+31.2</f>
        <v>72.599999999999994</v>
      </c>
      <c r="J81" s="39">
        <f t="shared" si="7"/>
        <v>2467.674</v>
      </c>
      <c r="K81" s="40">
        <f t="shared" si="8"/>
        <v>-72.599999999999994</v>
      </c>
      <c r="O81" s="49"/>
      <c r="P81" s="49"/>
    </row>
    <row r="82" spans="1:16" x14ac:dyDescent="0.35">
      <c r="A82" s="62"/>
      <c r="B82" s="14"/>
      <c r="C82" s="14"/>
      <c r="D82" s="14"/>
      <c r="E82" s="14"/>
      <c r="F82" s="34" t="s">
        <v>186</v>
      </c>
      <c r="G82" s="35">
        <v>63.45</v>
      </c>
      <c r="H82" s="36">
        <v>36.99</v>
      </c>
      <c r="I82" s="28">
        <f>63.45+27.75</f>
        <v>91.2</v>
      </c>
      <c r="J82" s="39">
        <f t="shared" si="7"/>
        <v>3373.4880000000003</v>
      </c>
      <c r="K82" s="40">
        <f t="shared" si="8"/>
        <v>-91.2</v>
      </c>
      <c r="O82" s="49"/>
      <c r="P82" s="49"/>
    </row>
    <row r="83" spans="1:16" x14ac:dyDescent="0.35">
      <c r="A83" s="62"/>
      <c r="B83" s="14"/>
      <c r="C83" s="14"/>
      <c r="D83" s="14"/>
      <c r="E83" s="14"/>
      <c r="F83" s="34" t="s">
        <v>137</v>
      </c>
      <c r="G83" s="35">
        <v>48.1</v>
      </c>
      <c r="H83" s="36">
        <v>20.99</v>
      </c>
      <c r="I83" s="28">
        <v>34.200000000000003</v>
      </c>
      <c r="J83" s="39">
        <f t="shared" si="7"/>
        <v>717.85800000000006</v>
      </c>
      <c r="K83" s="40">
        <f t="shared" si="8"/>
        <v>-34.200000000000003</v>
      </c>
      <c r="O83" s="49"/>
      <c r="P83" s="49"/>
    </row>
    <row r="84" spans="1:16" x14ac:dyDescent="0.35">
      <c r="A84" s="62"/>
      <c r="B84" s="14"/>
      <c r="C84" s="14"/>
      <c r="D84" s="14"/>
      <c r="E84" s="14"/>
      <c r="F84" s="34" t="s">
        <v>132</v>
      </c>
      <c r="G84" s="35">
        <v>50.4</v>
      </c>
      <c r="H84" s="36">
        <v>28.99</v>
      </c>
      <c r="I84" s="28">
        <v>27.9</v>
      </c>
      <c r="J84" s="39">
        <f t="shared" si="7"/>
        <v>808.82099999999991</v>
      </c>
      <c r="K84" s="40">
        <f t="shared" si="8"/>
        <v>-27.9</v>
      </c>
      <c r="O84" s="49"/>
      <c r="P84" s="49"/>
    </row>
    <row r="85" spans="1:16" x14ac:dyDescent="0.35">
      <c r="A85" s="62"/>
      <c r="B85" s="14"/>
      <c r="C85" s="14"/>
      <c r="D85" s="14"/>
      <c r="E85" s="14"/>
      <c r="F85" s="34" t="s">
        <v>136</v>
      </c>
      <c r="G85" s="35">
        <v>48</v>
      </c>
      <c r="H85" s="36">
        <v>20.99</v>
      </c>
      <c r="I85" s="28">
        <f>48.1+27.5</f>
        <v>75.599999999999994</v>
      </c>
      <c r="J85" s="39">
        <f t="shared" si="7"/>
        <v>1586.8439999999998</v>
      </c>
      <c r="K85" s="40">
        <f t="shared" si="8"/>
        <v>-75.599999999999994</v>
      </c>
      <c r="O85" s="49"/>
      <c r="P85" s="49"/>
    </row>
    <row r="86" spans="1:16" x14ac:dyDescent="0.35">
      <c r="A86" s="62"/>
      <c r="B86" s="14"/>
      <c r="C86" s="14"/>
      <c r="D86" s="14"/>
      <c r="E86" s="14"/>
      <c r="F86" s="34" t="s">
        <v>130</v>
      </c>
      <c r="G86" s="35"/>
      <c r="H86" s="36"/>
      <c r="I86" s="28">
        <v>46.65</v>
      </c>
      <c r="J86" s="39">
        <f t="shared" si="7"/>
        <v>0</v>
      </c>
      <c r="K86" s="40">
        <f t="shared" si="8"/>
        <v>-46.65</v>
      </c>
      <c r="O86" s="49"/>
      <c r="P86" s="49"/>
    </row>
    <row r="87" spans="1:16" x14ac:dyDescent="0.35">
      <c r="A87" s="62"/>
      <c r="B87" s="14"/>
      <c r="C87" s="14"/>
      <c r="D87" s="14"/>
      <c r="E87" s="14"/>
      <c r="F87" s="34" t="s">
        <v>187</v>
      </c>
      <c r="G87" s="35"/>
      <c r="H87" s="36">
        <v>20.99</v>
      </c>
      <c r="I87" s="28">
        <v>42.05</v>
      </c>
      <c r="J87" s="39">
        <f t="shared" si="7"/>
        <v>882.62949999999989</v>
      </c>
      <c r="K87" s="40">
        <f t="shared" si="8"/>
        <v>-42.05</v>
      </c>
      <c r="O87" s="49"/>
      <c r="P87" s="49"/>
    </row>
    <row r="88" spans="1:16" x14ac:dyDescent="0.35">
      <c r="A88" s="62"/>
      <c r="B88" s="14"/>
      <c r="C88" s="14"/>
      <c r="D88" s="14"/>
      <c r="E88" s="14"/>
      <c r="F88" s="34" t="s">
        <v>177</v>
      </c>
      <c r="G88" s="35">
        <v>42.75</v>
      </c>
      <c r="H88" s="36">
        <v>22.99</v>
      </c>
      <c r="I88" s="28">
        <f>42.75+20.2</f>
        <v>62.95</v>
      </c>
      <c r="J88" s="39">
        <f t="shared" si="7"/>
        <v>1447.2204999999999</v>
      </c>
      <c r="K88" s="40">
        <f t="shared" si="8"/>
        <v>-62.95</v>
      </c>
      <c r="O88" s="49"/>
      <c r="P88" s="49"/>
    </row>
    <row r="89" spans="1:16" x14ac:dyDescent="0.35">
      <c r="A89" s="62"/>
      <c r="B89" s="14"/>
      <c r="C89" s="14"/>
      <c r="D89" s="14"/>
      <c r="E89" s="14"/>
      <c r="F89" s="34" t="s">
        <v>189</v>
      </c>
      <c r="G89" s="35">
        <v>42.35</v>
      </c>
      <c r="H89" s="36">
        <v>21.99</v>
      </c>
      <c r="I89" s="28">
        <v>22.7</v>
      </c>
      <c r="J89" s="39">
        <f t="shared" si="7"/>
        <v>499.17299999999994</v>
      </c>
      <c r="K89" s="40">
        <f t="shared" si="8"/>
        <v>-22.7</v>
      </c>
      <c r="O89" s="49"/>
      <c r="P89" s="49"/>
    </row>
    <row r="90" spans="1:16" x14ac:dyDescent="0.35">
      <c r="A90" s="62"/>
      <c r="B90" s="14"/>
      <c r="C90" s="14"/>
      <c r="D90" s="14"/>
      <c r="E90" s="14"/>
      <c r="F90" s="34" t="s">
        <v>190</v>
      </c>
      <c r="G90" s="35">
        <v>41.15</v>
      </c>
      <c r="H90" s="36">
        <v>21.99</v>
      </c>
      <c r="I90" s="28">
        <v>78.8</v>
      </c>
      <c r="J90" s="39">
        <f t="shared" ref="J90:J95" si="9">I90*H90</f>
        <v>1732.8119999999999</v>
      </c>
      <c r="K90" s="40">
        <f t="shared" ref="K90:K95" si="10">(SUM(A90:E90))-I90</f>
        <v>-78.8</v>
      </c>
      <c r="O90" s="49"/>
      <c r="P90" s="49"/>
    </row>
    <row r="91" spans="1:16" x14ac:dyDescent="0.35">
      <c r="A91" s="62"/>
      <c r="B91" s="14"/>
      <c r="C91" s="14"/>
      <c r="D91" s="14"/>
      <c r="E91" s="14"/>
      <c r="F91" s="34" t="s">
        <v>191</v>
      </c>
      <c r="G91" s="35">
        <v>42.75</v>
      </c>
      <c r="H91" s="36">
        <v>21.99</v>
      </c>
      <c r="I91" s="28">
        <v>21.65</v>
      </c>
      <c r="J91" s="39">
        <f t="shared" si="9"/>
        <v>476.08349999999996</v>
      </c>
      <c r="K91" s="40">
        <f t="shared" si="10"/>
        <v>-21.65</v>
      </c>
      <c r="O91" s="49"/>
      <c r="P91" s="49"/>
    </row>
    <row r="92" spans="1:16" x14ac:dyDescent="0.35">
      <c r="A92" s="62"/>
      <c r="B92" s="14"/>
      <c r="C92" s="14"/>
      <c r="D92" s="14"/>
      <c r="E92" s="14"/>
      <c r="F92" s="34" t="s">
        <v>192</v>
      </c>
      <c r="G92" s="35">
        <v>43.55</v>
      </c>
      <c r="H92" s="36">
        <v>33.99</v>
      </c>
      <c r="I92" s="28">
        <v>32.15</v>
      </c>
      <c r="J92" s="39">
        <f t="shared" si="9"/>
        <v>1092.7785000000001</v>
      </c>
      <c r="K92" s="40">
        <f t="shared" si="10"/>
        <v>-32.15</v>
      </c>
      <c r="O92" s="49"/>
      <c r="P92" s="49"/>
    </row>
    <row r="93" spans="1:16" x14ac:dyDescent="0.35">
      <c r="A93" s="62"/>
      <c r="B93" s="14"/>
      <c r="C93" s="14"/>
      <c r="D93" s="14"/>
      <c r="E93" s="14"/>
      <c r="F93" s="34" t="s">
        <v>193</v>
      </c>
      <c r="G93" s="35">
        <v>44.15</v>
      </c>
      <c r="H93" s="36">
        <v>34.99</v>
      </c>
      <c r="I93" s="28">
        <v>42.35</v>
      </c>
      <c r="J93" s="39">
        <f t="shared" si="9"/>
        <v>1481.8265000000001</v>
      </c>
      <c r="K93" s="40">
        <f t="shared" si="10"/>
        <v>-42.35</v>
      </c>
      <c r="O93" s="49"/>
      <c r="P93" s="49"/>
    </row>
    <row r="94" spans="1:16" x14ac:dyDescent="0.35">
      <c r="A94" s="62"/>
      <c r="B94" s="14"/>
      <c r="C94" s="14"/>
      <c r="D94" s="14"/>
      <c r="E94" s="14"/>
      <c r="F94" s="34" t="s">
        <v>195</v>
      </c>
      <c r="G94" s="35">
        <v>48.1</v>
      </c>
      <c r="H94" s="36">
        <v>29.99</v>
      </c>
      <c r="I94" s="28">
        <f>47.85*3</f>
        <v>143.55000000000001</v>
      </c>
      <c r="J94" s="39">
        <f t="shared" si="9"/>
        <v>4305.0645000000004</v>
      </c>
      <c r="K94" s="40">
        <f t="shared" si="10"/>
        <v>-143.55000000000001</v>
      </c>
      <c r="O94" s="49"/>
      <c r="P94" s="49"/>
    </row>
    <row r="95" spans="1:16" x14ac:dyDescent="0.35">
      <c r="A95" s="62"/>
      <c r="B95" s="14"/>
      <c r="C95" s="14"/>
      <c r="D95" s="14"/>
      <c r="E95" s="14"/>
      <c r="F95" s="34" t="s">
        <v>194</v>
      </c>
      <c r="G95" s="35">
        <v>42.8</v>
      </c>
      <c r="H95" s="36">
        <v>25.99</v>
      </c>
      <c r="I95" s="28">
        <v>23.5</v>
      </c>
      <c r="J95" s="39">
        <f t="shared" si="9"/>
        <v>610.76499999999999</v>
      </c>
      <c r="K95" s="40">
        <f t="shared" si="10"/>
        <v>-23.5</v>
      </c>
      <c r="O95" s="49"/>
      <c r="P95" s="49"/>
    </row>
    <row r="96" spans="1:16" ht="15" thickBot="1" x14ac:dyDescent="0.4">
      <c r="A96" s="62"/>
      <c r="B96" s="14"/>
      <c r="C96" s="14"/>
      <c r="D96" s="14"/>
      <c r="E96" s="14"/>
      <c r="F96" s="34" t="s">
        <v>188</v>
      </c>
      <c r="G96" s="35">
        <v>53.9</v>
      </c>
      <c r="H96" s="36">
        <v>33.99</v>
      </c>
      <c r="I96" s="28">
        <f>53.9+32.9+36.6</f>
        <v>123.4</v>
      </c>
      <c r="J96" s="39">
        <f t="shared" si="7"/>
        <v>4194.366</v>
      </c>
      <c r="K96" s="40">
        <f t="shared" si="8"/>
        <v>-123.4</v>
      </c>
      <c r="O96" s="49"/>
      <c r="P96" s="49"/>
    </row>
    <row r="97" spans="1:16" ht="17.25" customHeight="1" thickBot="1" x14ac:dyDescent="0.6">
      <c r="A97" s="84" t="s">
        <v>9</v>
      </c>
      <c r="B97" s="85"/>
      <c r="C97" s="85"/>
      <c r="D97" s="85"/>
      <c r="E97" s="85"/>
      <c r="F97" s="85"/>
      <c r="G97" s="85"/>
      <c r="H97" s="85"/>
      <c r="I97" s="86"/>
      <c r="J97" s="87"/>
      <c r="K97" s="88"/>
      <c r="O97" s="49"/>
      <c r="P97" s="49"/>
    </row>
    <row r="98" spans="1:16" ht="24" thickBot="1" x14ac:dyDescent="0.6">
      <c r="A98" s="84" t="s">
        <v>139</v>
      </c>
      <c r="B98" s="85"/>
      <c r="C98" s="85"/>
      <c r="D98" s="85"/>
      <c r="E98" s="85"/>
      <c r="F98" s="85"/>
      <c r="G98" s="85"/>
      <c r="H98" s="85"/>
      <c r="I98" s="86"/>
      <c r="J98" s="89">
        <v>0</v>
      </c>
      <c r="K98" s="90"/>
    </row>
    <row r="99" spans="1:16" ht="24" thickBot="1" x14ac:dyDescent="0.6">
      <c r="A99" s="84" t="s">
        <v>55</v>
      </c>
      <c r="B99" s="85"/>
      <c r="C99" s="85"/>
      <c r="D99" s="85"/>
      <c r="E99" s="85"/>
      <c r="F99" s="85"/>
      <c r="G99" s="85"/>
      <c r="H99" s="85"/>
      <c r="I99" s="86"/>
      <c r="J99" s="89">
        <v>0</v>
      </c>
      <c r="K99" s="90"/>
    </row>
    <row r="100" spans="1:16" ht="24" thickBot="1" x14ac:dyDescent="0.6">
      <c r="A100" s="84" t="s">
        <v>11</v>
      </c>
      <c r="B100" s="85"/>
      <c r="C100" s="85"/>
      <c r="D100" s="85"/>
      <c r="E100" s="85"/>
      <c r="F100" s="85"/>
      <c r="G100" s="85"/>
      <c r="H100" s="85"/>
      <c r="I100" s="86"/>
      <c r="J100" s="87">
        <f>SUM(J65:J96)</f>
        <v>47807.355500000005</v>
      </c>
      <c r="K100" s="88"/>
    </row>
    <row r="101" spans="1:16" ht="24" thickBot="1" x14ac:dyDescent="0.6">
      <c r="A101" s="84" t="s">
        <v>140</v>
      </c>
      <c r="B101" s="85"/>
      <c r="C101" s="85"/>
      <c r="D101" s="85"/>
      <c r="E101" s="85"/>
      <c r="F101" s="85"/>
      <c r="G101" s="85"/>
      <c r="H101" s="85"/>
      <c r="I101" s="86"/>
      <c r="J101" s="89">
        <v>1739.25</v>
      </c>
      <c r="K101" s="90"/>
      <c r="O101" s="49"/>
      <c r="P101" s="49"/>
    </row>
    <row r="102" spans="1:16" ht="24" thickBot="1" x14ac:dyDescent="0.6">
      <c r="A102" s="84" t="s">
        <v>141</v>
      </c>
      <c r="B102" s="85"/>
      <c r="C102" s="85"/>
      <c r="D102" s="85"/>
      <c r="E102" s="85"/>
      <c r="F102" s="85"/>
      <c r="G102" s="85"/>
      <c r="H102" s="85"/>
      <c r="I102" s="86"/>
      <c r="J102" s="87">
        <f>J97+J98+J99-J100</f>
        <v>-47807.355500000005</v>
      </c>
      <c r="K102" s="88"/>
      <c r="O102" s="49"/>
      <c r="P102" s="49"/>
    </row>
    <row r="103" spans="1:16" ht="24" thickBot="1" x14ac:dyDescent="0.6">
      <c r="A103" s="109" t="s">
        <v>142</v>
      </c>
      <c r="B103" s="110"/>
      <c r="C103" s="110"/>
      <c r="D103" s="110"/>
      <c r="E103" s="110"/>
      <c r="F103" s="110"/>
      <c r="G103" s="110"/>
      <c r="H103" s="110"/>
      <c r="I103" s="111"/>
      <c r="J103" s="112">
        <f>J102/J101</f>
        <v>-27.487339657898524</v>
      </c>
      <c r="K103" s="113"/>
      <c r="O103" s="49"/>
      <c r="P103" s="49"/>
    </row>
    <row r="104" spans="1:16" ht="24" thickBot="1" x14ac:dyDescent="0.6">
      <c r="A104" s="109" t="s">
        <v>56</v>
      </c>
      <c r="B104" s="110"/>
      <c r="C104" s="110"/>
      <c r="D104" s="110"/>
      <c r="E104" s="110"/>
      <c r="F104" s="110"/>
      <c r="G104" s="110"/>
      <c r="H104" s="110"/>
      <c r="I104" s="111"/>
      <c r="J104" s="112" t="e">
        <f>((G186+G187+G189-J100)/G188)</f>
        <v>#REF!</v>
      </c>
      <c r="K104" s="113"/>
      <c r="O104" s="49"/>
      <c r="P104" s="49"/>
    </row>
    <row r="105" spans="1:16" ht="15" thickBot="1" x14ac:dyDescent="0.4">
      <c r="A105" s="62"/>
      <c r="B105" s="15"/>
      <c r="C105" s="15"/>
      <c r="D105" s="15"/>
      <c r="E105" s="15"/>
      <c r="F105" s="34"/>
      <c r="G105" s="35" t="e">
        <f>#REF!</f>
        <v>#REF!</v>
      </c>
      <c r="H105" s="36"/>
      <c r="I105" s="28"/>
      <c r="J105" s="39">
        <f t="shared" ref="J105" si="11">I105*H105</f>
        <v>0</v>
      </c>
      <c r="K105" s="40">
        <f t="shared" ref="K105" si="12">(SUM(A105:E105))-I105</f>
        <v>0</v>
      </c>
      <c r="O105" s="49"/>
      <c r="P105" s="49"/>
    </row>
    <row r="106" spans="1:16" x14ac:dyDescent="0.35">
      <c r="A106" s="145" t="s">
        <v>0</v>
      </c>
      <c r="B106" s="147" t="s">
        <v>1</v>
      </c>
      <c r="C106" s="148"/>
      <c r="D106" s="148"/>
      <c r="E106" s="149"/>
      <c r="F106" s="102" t="s">
        <v>2</v>
      </c>
      <c r="G106" s="102" t="s">
        <v>3</v>
      </c>
      <c r="H106" s="102" t="s">
        <v>4</v>
      </c>
      <c r="I106" s="102" t="s">
        <v>5</v>
      </c>
      <c r="J106" s="102" t="s">
        <v>6</v>
      </c>
      <c r="K106" s="104" t="s">
        <v>7</v>
      </c>
      <c r="O106" s="49"/>
      <c r="P106" s="49"/>
    </row>
    <row r="107" spans="1:16" x14ac:dyDescent="0.35">
      <c r="A107" s="146"/>
      <c r="B107" s="27">
        <v>1</v>
      </c>
      <c r="C107" s="27">
        <v>2</v>
      </c>
      <c r="D107" s="27">
        <v>3</v>
      </c>
      <c r="E107" s="27">
        <v>4</v>
      </c>
      <c r="F107" s="103"/>
      <c r="G107" s="103"/>
      <c r="H107" s="103"/>
      <c r="I107" s="103"/>
      <c r="J107" s="103"/>
      <c r="K107" s="105"/>
      <c r="O107" s="49"/>
      <c r="P107" s="49"/>
    </row>
    <row r="108" spans="1:16" ht="23.5" x14ac:dyDescent="0.55000000000000004">
      <c r="A108" s="106" t="s">
        <v>15</v>
      </c>
      <c r="B108" s="107"/>
      <c r="C108" s="107"/>
      <c r="D108" s="107"/>
      <c r="E108" s="107"/>
      <c r="F108" s="107"/>
      <c r="G108" s="107"/>
      <c r="H108" s="107"/>
      <c r="I108" s="107"/>
      <c r="J108" s="107"/>
      <c r="K108" s="108"/>
      <c r="O108" s="49"/>
      <c r="P108" s="49"/>
    </row>
    <row r="109" spans="1:16" x14ac:dyDescent="0.35">
      <c r="A109" s="28">
        <f>2+15</f>
        <v>17</v>
      </c>
      <c r="B109" s="14"/>
      <c r="C109" s="14"/>
      <c r="D109" s="14"/>
      <c r="E109" s="14"/>
      <c r="F109" s="34" t="s">
        <v>104</v>
      </c>
      <c r="G109" s="35" t="e">
        <f>#REF!</f>
        <v>#REF!</v>
      </c>
      <c r="H109" s="36"/>
      <c r="I109" s="28">
        <f>9+18</f>
        <v>27</v>
      </c>
      <c r="J109" s="39">
        <f>I109*H109</f>
        <v>0</v>
      </c>
      <c r="K109" s="40">
        <f>(SUM(A109:E109))-I109</f>
        <v>-10</v>
      </c>
      <c r="O109" s="49"/>
      <c r="P109" s="49"/>
    </row>
    <row r="110" spans="1:16" x14ac:dyDescent="0.35">
      <c r="A110" s="17">
        <f>13+13</f>
        <v>26</v>
      </c>
      <c r="B110" s="15"/>
      <c r="C110" s="15"/>
      <c r="D110" s="15"/>
      <c r="E110" s="15"/>
      <c r="F110" s="34" t="s">
        <v>103</v>
      </c>
      <c r="G110" s="35" t="e">
        <f>#REF!</f>
        <v>#REF!</v>
      </c>
      <c r="H110" s="36"/>
      <c r="I110" s="17">
        <v>28</v>
      </c>
      <c r="J110" s="39">
        <f t="shared" ref="J110:J124" si="13">I110*H110</f>
        <v>0</v>
      </c>
      <c r="K110" s="40">
        <f t="shared" ref="K110:K124" si="14">(SUM(A110:E110))-I110</f>
        <v>-2</v>
      </c>
      <c r="O110" s="49"/>
      <c r="P110" s="49"/>
    </row>
    <row r="111" spans="1:16" x14ac:dyDescent="0.35">
      <c r="A111" s="17">
        <f>10+10</f>
        <v>20</v>
      </c>
      <c r="B111" s="15"/>
      <c r="C111" s="15"/>
      <c r="D111" s="15"/>
      <c r="E111" s="15"/>
      <c r="F111" s="34" t="s">
        <v>100</v>
      </c>
      <c r="G111" s="35" t="e">
        <f>#REF!</f>
        <v>#REF!</v>
      </c>
      <c r="H111" s="36"/>
      <c r="I111" s="17">
        <v>25</v>
      </c>
      <c r="J111" s="39">
        <f t="shared" si="13"/>
        <v>0</v>
      </c>
      <c r="K111" s="40">
        <f t="shared" si="14"/>
        <v>-5</v>
      </c>
      <c r="O111" s="49"/>
      <c r="P111" s="49"/>
    </row>
    <row r="112" spans="1:16" x14ac:dyDescent="0.35">
      <c r="A112" s="17">
        <f>12+8</f>
        <v>20</v>
      </c>
      <c r="B112" s="15"/>
      <c r="C112" s="15"/>
      <c r="D112" s="15"/>
      <c r="E112" s="15"/>
      <c r="F112" s="34" t="s">
        <v>106</v>
      </c>
      <c r="G112" s="35" t="e">
        <f>#REF!</f>
        <v>#REF!</v>
      </c>
      <c r="H112" s="36"/>
      <c r="I112" s="17">
        <v>16</v>
      </c>
      <c r="J112" s="39">
        <f t="shared" si="13"/>
        <v>0</v>
      </c>
      <c r="K112" s="40">
        <f t="shared" si="14"/>
        <v>4</v>
      </c>
      <c r="O112" s="49"/>
      <c r="P112" s="49"/>
    </row>
    <row r="113" spans="1:16" x14ac:dyDescent="0.35">
      <c r="A113" s="17">
        <v>24</v>
      </c>
      <c r="B113" s="15"/>
      <c r="C113" s="15"/>
      <c r="D113" s="15"/>
      <c r="E113" s="15"/>
      <c r="F113" s="34" t="s">
        <v>175</v>
      </c>
      <c r="G113" s="35">
        <v>1</v>
      </c>
      <c r="H113" s="36"/>
      <c r="I113" s="17">
        <v>19</v>
      </c>
      <c r="J113" s="39">
        <f t="shared" si="13"/>
        <v>0</v>
      </c>
      <c r="K113" s="40">
        <f t="shared" si="14"/>
        <v>5</v>
      </c>
      <c r="O113" s="49"/>
      <c r="P113" s="49"/>
    </row>
    <row r="114" spans="1:16" x14ac:dyDescent="0.35">
      <c r="A114" s="17">
        <f>7+12</f>
        <v>19</v>
      </c>
      <c r="B114" s="15"/>
      <c r="C114" s="15"/>
      <c r="D114" s="15"/>
      <c r="E114" s="15"/>
      <c r="F114" s="34" t="s">
        <v>16</v>
      </c>
      <c r="G114" s="35" t="e">
        <f>#REF!</f>
        <v>#REF!</v>
      </c>
      <c r="H114" s="36"/>
      <c r="I114" s="17">
        <v>43</v>
      </c>
      <c r="J114" s="39">
        <f t="shared" si="13"/>
        <v>0</v>
      </c>
      <c r="K114" s="40">
        <f t="shared" si="14"/>
        <v>-24</v>
      </c>
      <c r="O114" s="49"/>
      <c r="P114" s="49"/>
    </row>
    <row r="115" spans="1:16" x14ac:dyDescent="0.35">
      <c r="A115" s="17">
        <f>6+7+6+4</f>
        <v>23</v>
      </c>
      <c r="B115" s="15"/>
      <c r="C115" s="15"/>
      <c r="D115" s="15"/>
      <c r="E115" s="15"/>
      <c r="F115" s="34" t="s">
        <v>17</v>
      </c>
      <c r="G115" s="35" t="e">
        <f>#REF!</f>
        <v>#REF!</v>
      </c>
      <c r="H115" s="36"/>
      <c r="I115" s="17">
        <v>12</v>
      </c>
      <c r="J115" s="39">
        <f t="shared" si="13"/>
        <v>0</v>
      </c>
      <c r="K115" s="40">
        <f t="shared" si="14"/>
        <v>11</v>
      </c>
      <c r="O115" s="49"/>
      <c r="P115" s="49"/>
    </row>
    <row r="116" spans="1:16" x14ac:dyDescent="0.35">
      <c r="A116" s="17">
        <f>7+28</f>
        <v>35</v>
      </c>
      <c r="B116" s="15"/>
      <c r="C116" s="15"/>
      <c r="D116" s="15"/>
      <c r="E116" s="15"/>
      <c r="F116" s="34" t="s">
        <v>105</v>
      </c>
      <c r="G116" s="35" t="e">
        <f>#REF!</f>
        <v>#REF!</v>
      </c>
      <c r="H116" s="36"/>
      <c r="I116" s="17">
        <v>38</v>
      </c>
      <c r="J116" s="39">
        <f t="shared" si="13"/>
        <v>0</v>
      </c>
      <c r="K116" s="40">
        <f t="shared" si="14"/>
        <v>-3</v>
      </c>
      <c r="O116" s="49"/>
      <c r="P116" s="49"/>
    </row>
    <row r="117" spans="1:16" x14ac:dyDescent="0.35">
      <c r="A117" s="31">
        <f>11+6+12</f>
        <v>29</v>
      </c>
      <c r="B117" s="15"/>
      <c r="C117" s="15"/>
      <c r="D117" s="15"/>
      <c r="E117" s="15"/>
      <c r="F117" s="34" t="s">
        <v>102</v>
      </c>
      <c r="G117" s="35" t="e">
        <f>#REF!</f>
        <v>#REF!</v>
      </c>
      <c r="H117" s="36"/>
      <c r="I117" s="31">
        <v>44</v>
      </c>
      <c r="J117" s="39">
        <f t="shared" si="13"/>
        <v>0</v>
      </c>
      <c r="K117" s="40">
        <f t="shared" si="14"/>
        <v>-15</v>
      </c>
      <c r="O117" s="49"/>
      <c r="P117" s="49"/>
    </row>
    <row r="118" spans="1:16" x14ac:dyDescent="0.35">
      <c r="A118" s="17">
        <f>12+15</f>
        <v>27</v>
      </c>
      <c r="B118" s="15"/>
      <c r="C118" s="15"/>
      <c r="D118" s="15"/>
      <c r="E118" s="15"/>
      <c r="F118" s="34" t="s">
        <v>44</v>
      </c>
      <c r="G118" s="35" t="e">
        <f>#REF!</f>
        <v>#REF!</v>
      </c>
      <c r="H118" s="36"/>
      <c r="I118" s="17">
        <v>25</v>
      </c>
      <c r="J118" s="39">
        <f t="shared" si="13"/>
        <v>0</v>
      </c>
      <c r="K118" s="40">
        <f t="shared" si="14"/>
        <v>2</v>
      </c>
      <c r="O118" s="49"/>
      <c r="P118" s="49"/>
    </row>
    <row r="119" spans="1:16" x14ac:dyDescent="0.35">
      <c r="A119" s="17">
        <f>6+2</f>
        <v>8</v>
      </c>
      <c r="B119" s="15"/>
      <c r="C119" s="15"/>
      <c r="D119" s="15"/>
      <c r="E119" s="15"/>
      <c r="F119" s="34" t="s">
        <v>107</v>
      </c>
      <c r="G119" s="35" t="e">
        <f>#REF!</f>
        <v>#REF!</v>
      </c>
      <c r="H119" s="36"/>
      <c r="I119" s="17">
        <v>27</v>
      </c>
      <c r="J119" s="39">
        <f t="shared" si="13"/>
        <v>0</v>
      </c>
      <c r="K119" s="40">
        <f t="shared" si="14"/>
        <v>-19</v>
      </c>
      <c r="O119" s="49"/>
      <c r="P119" s="49"/>
    </row>
    <row r="120" spans="1:16" x14ac:dyDescent="0.35">
      <c r="A120" s="17">
        <f>11+11</f>
        <v>22</v>
      </c>
      <c r="B120" s="15"/>
      <c r="C120" s="15"/>
      <c r="D120" s="15"/>
      <c r="E120" s="15"/>
      <c r="F120" s="34" t="s">
        <v>101</v>
      </c>
      <c r="G120" s="35" t="e">
        <f>#REF!</f>
        <v>#REF!</v>
      </c>
      <c r="H120" s="36"/>
      <c r="I120" s="17">
        <v>45</v>
      </c>
      <c r="J120" s="39">
        <f t="shared" si="13"/>
        <v>0</v>
      </c>
      <c r="K120" s="40">
        <f t="shared" si="14"/>
        <v>-23</v>
      </c>
      <c r="O120" s="49"/>
      <c r="P120" s="49"/>
    </row>
    <row r="121" spans="1:16" x14ac:dyDescent="0.35">
      <c r="A121" s="17">
        <v>12</v>
      </c>
      <c r="B121" s="15"/>
      <c r="C121" s="15"/>
      <c r="D121" s="15"/>
      <c r="E121" s="15"/>
      <c r="F121" s="34" t="s">
        <v>108</v>
      </c>
      <c r="G121" s="35" t="e">
        <f>#REF!</f>
        <v>#REF!</v>
      </c>
      <c r="H121" s="36"/>
      <c r="I121" s="17">
        <v>24</v>
      </c>
      <c r="J121" s="39">
        <f t="shared" si="13"/>
        <v>0</v>
      </c>
      <c r="K121" s="40">
        <f t="shared" si="14"/>
        <v>-12</v>
      </c>
      <c r="O121" s="49"/>
      <c r="P121" s="49"/>
    </row>
    <row r="122" spans="1:16" x14ac:dyDescent="0.35">
      <c r="A122" s="17">
        <f>7+12</f>
        <v>19</v>
      </c>
      <c r="B122" s="15"/>
      <c r="C122" s="15"/>
      <c r="D122" s="15"/>
      <c r="E122" s="15"/>
      <c r="F122" s="34" t="s">
        <v>18</v>
      </c>
      <c r="G122" s="35" t="e">
        <f>#REF!</f>
        <v>#REF!</v>
      </c>
      <c r="H122" s="36"/>
      <c r="I122" s="17">
        <v>28</v>
      </c>
      <c r="J122" s="39">
        <f t="shared" si="13"/>
        <v>0</v>
      </c>
      <c r="K122" s="40">
        <f t="shared" si="14"/>
        <v>-9</v>
      </c>
      <c r="O122" s="49"/>
      <c r="P122" s="49"/>
    </row>
    <row r="123" spans="1:16" x14ac:dyDescent="0.35">
      <c r="A123" s="17">
        <f>10</f>
        <v>10</v>
      </c>
      <c r="B123" s="15"/>
      <c r="C123" s="15"/>
      <c r="D123" s="15"/>
      <c r="E123" s="15"/>
      <c r="F123" s="34" t="s">
        <v>99</v>
      </c>
      <c r="G123" s="35" t="e">
        <f>#REF!</f>
        <v>#REF!</v>
      </c>
      <c r="H123" s="36"/>
      <c r="I123" s="17">
        <v>23</v>
      </c>
      <c r="J123" s="39">
        <f t="shared" si="13"/>
        <v>0</v>
      </c>
      <c r="K123" s="40">
        <f t="shared" si="14"/>
        <v>-13</v>
      </c>
      <c r="O123" s="49"/>
      <c r="P123" s="49"/>
    </row>
    <row r="124" spans="1:16" ht="20.149999999999999" customHeight="1" x14ac:dyDescent="0.35">
      <c r="A124" s="17">
        <f>9+12</f>
        <v>21</v>
      </c>
      <c r="B124" s="15"/>
      <c r="C124" s="15"/>
      <c r="D124" s="15"/>
      <c r="E124" s="15"/>
      <c r="F124" s="34" t="s">
        <v>19</v>
      </c>
      <c r="G124" s="35" t="e">
        <f>#REF!</f>
        <v>#REF!</v>
      </c>
      <c r="H124" s="36"/>
      <c r="I124" s="17">
        <v>27</v>
      </c>
      <c r="J124" s="39">
        <f t="shared" si="13"/>
        <v>0</v>
      </c>
      <c r="K124" s="40">
        <f t="shared" si="14"/>
        <v>-6</v>
      </c>
    </row>
    <row r="125" spans="1:16" ht="20.149999999999999" customHeight="1" x14ac:dyDescent="0.35">
      <c r="A125" s="91" t="s">
        <v>117</v>
      </c>
      <c r="B125" s="92"/>
      <c r="C125" s="92"/>
      <c r="D125" s="92"/>
      <c r="E125" s="92"/>
      <c r="F125" s="92"/>
      <c r="G125" s="92"/>
      <c r="H125" s="92"/>
      <c r="I125" s="92"/>
      <c r="J125" s="92"/>
      <c r="K125" s="93"/>
    </row>
    <row r="126" spans="1:16" ht="20.149999999999999" customHeight="1" x14ac:dyDescent="0.35">
      <c r="A126" s="17"/>
      <c r="B126" s="15"/>
      <c r="C126" s="15"/>
      <c r="D126" s="15"/>
      <c r="E126" s="15"/>
      <c r="F126" s="34" t="s">
        <v>116</v>
      </c>
      <c r="G126" s="35" t="e">
        <f>#REF!</f>
        <v>#REF!</v>
      </c>
      <c r="H126" s="36"/>
      <c r="I126" s="17"/>
      <c r="J126" s="39">
        <f t="shared" ref="J126:J131" si="15">I126*H126</f>
        <v>0</v>
      </c>
      <c r="K126" s="40">
        <f t="shared" ref="K126:K134" si="16">(SUM(A126:E126))-I126</f>
        <v>0</v>
      </c>
    </row>
    <row r="127" spans="1:16" ht="20.149999999999999" customHeight="1" x14ac:dyDescent="0.35">
      <c r="A127" s="17">
        <f>2+6</f>
        <v>8</v>
      </c>
      <c r="B127" s="15"/>
      <c r="C127" s="15"/>
      <c r="D127" s="15"/>
      <c r="E127" s="15"/>
      <c r="F127" s="34" t="s">
        <v>115</v>
      </c>
      <c r="G127" s="35" t="e">
        <f>#REF!</f>
        <v>#REF!</v>
      </c>
      <c r="H127" s="36"/>
      <c r="I127" s="17">
        <v>11</v>
      </c>
      <c r="J127" s="39">
        <f t="shared" si="15"/>
        <v>0</v>
      </c>
      <c r="K127" s="40">
        <f t="shared" si="16"/>
        <v>-3</v>
      </c>
    </row>
    <row r="128" spans="1:16" ht="20.149999999999999" customHeight="1" x14ac:dyDescent="0.35">
      <c r="A128" s="17"/>
      <c r="B128" s="15"/>
      <c r="C128" s="15"/>
      <c r="D128" s="15"/>
      <c r="E128" s="15"/>
      <c r="F128" s="34" t="s">
        <v>114</v>
      </c>
      <c r="G128" s="35" t="e">
        <f>#REF!</f>
        <v>#REF!</v>
      </c>
      <c r="H128" s="36"/>
      <c r="I128" s="17">
        <v>2</v>
      </c>
      <c r="J128" s="39">
        <f t="shared" si="15"/>
        <v>0</v>
      </c>
      <c r="K128" s="40">
        <f t="shared" si="16"/>
        <v>-2</v>
      </c>
    </row>
    <row r="129" spans="1:11" ht="20.149999999999999" customHeight="1" x14ac:dyDescent="0.35">
      <c r="A129" s="17">
        <f>2+6</f>
        <v>8</v>
      </c>
      <c r="B129" s="15"/>
      <c r="C129" s="15"/>
      <c r="D129" s="15"/>
      <c r="E129" s="15"/>
      <c r="F129" s="34" t="s">
        <v>109</v>
      </c>
      <c r="G129" s="35" t="e">
        <f>#REF!</f>
        <v>#REF!</v>
      </c>
      <c r="H129" s="36"/>
      <c r="I129" s="17">
        <v>3</v>
      </c>
      <c r="J129" s="39">
        <f t="shared" si="15"/>
        <v>0</v>
      </c>
      <c r="K129" s="40">
        <f t="shared" si="16"/>
        <v>5</v>
      </c>
    </row>
    <row r="130" spans="1:11" ht="20.149999999999999" customHeight="1" x14ac:dyDescent="0.35">
      <c r="A130" s="17">
        <f>9+10</f>
        <v>19</v>
      </c>
      <c r="B130" s="15"/>
      <c r="C130" s="15"/>
      <c r="D130" s="15"/>
      <c r="E130" s="15"/>
      <c r="F130" s="34" t="s">
        <v>110</v>
      </c>
      <c r="G130" s="35" t="e">
        <f>#REF!</f>
        <v>#REF!</v>
      </c>
      <c r="H130" s="36"/>
      <c r="I130" s="17">
        <v>36</v>
      </c>
      <c r="J130" s="39">
        <f t="shared" si="15"/>
        <v>0</v>
      </c>
      <c r="K130" s="40">
        <f t="shared" si="16"/>
        <v>-17</v>
      </c>
    </row>
    <row r="131" spans="1:11" ht="20.149999999999999" customHeight="1" x14ac:dyDescent="0.35">
      <c r="A131" s="17">
        <f>1</f>
        <v>1</v>
      </c>
      <c r="B131" s="15"/>
      <c r="C131" s="15"/>
      <c r="D131" s="15"/>
      <c r="E131" s="15"/>
      <c r="F131" s="34" t="s">
        <v>111</v>
      </c>
      <c r="G131" s="35" t="e">
        <f>#REF!</f>
        <v>#REF!</v>
      </c>
      <c r="H131" s="36"/>
      <c r="I131" s="17"/>
      <c r="J131" s="39">
        <f t="shared" si="15"/>
        <v>0</v>
      </c>
      <c r="K131" s="40">
        <f t="shared" si="16"/>
        <v>1</v>
      </c>
    </row>
    <row r="132" spans="1:11" x14ac:dyDescent="0.35">
      <c r="A132" s="17">
        <v>30</v>
      </c>
      <c r="B132" s="15"/>
      <c r="C132" s="15"/>
      <c r="D132" s="15"/>
      <c r="E132" s="15"/>
      <c r="F132" s="34" t="s">
        <v>113</v>
      </c>
      <c r="G132" s="35" t="e">
        <f>#REF!</f>
        <v>#REF!</v>
      </c>
      <c r="H132" s="36"/>
      <c r="I132" s="17">
        <v>7</v>
      </c>
      <c r="J132" s="39">
        <v>0</v>
      </c>
      <c r="K132" s="40">
        <f t="shared" si="16"/>
        <v>23</v>
      </c>
    </row>
    <row r="133" spans="1:11" ht="20.149999999999999" customHeight="1" x14ac:dyDescent="0.35">
      <c r="A133" s="17">
        <v>6</v>
      </c>
      <c r="B133" s="15"/>
      <c r="C133" s="15"/>
      <c r="D133" s="15"/>
      <c r="E133" s="15"/>
      <c r="F133" s="34" t="s">
        <v>72</v>
      </c>
      <c r="G133" s="35" t="e">
        <f>#REF!</f>
        <v>#REF!</v>
      </c>
      <c r="H133" s="36"/>
      <c r="I133" s="17">
        <v>6</v>
      </c>
      <c r="J133" s="39">
        <f>I133*H133</f>
        <v>0</v>
      </c>
      <c r="K133" s="40">
        <f t="shared" si="16"/>
        <v>0</v>
      </c>
    </row>
    <row r="134" spans="1:11" ht="15" thickBot="1" x14ac:dyDescent="0.4">
      <c r="A134" s="29">
        <v>3</v>
      </c>
      <c r="B134" s="18"/>
      <c r="C134" s="18"/>
      <c r="D134" s="18"/>
      <c r="E134" s="18"/>
      <c r="F134" s="41" t="s">
        <v>112</v>
      </c>
      <c r="G134" s="42" t="e">
        <f>#REF!</f>
        <v>#REF!</v>
      </c>
      <c r="H134" s="43"/>
      <c r="I134" s="29"/>
      <c r="J134" s="44">
        <f>I134*H134</f>
        <v>0</v>
      </c>
      <c r="K134" s="45">
        <f t="shared" si="16"/>
        <v>3</v>
      </c>
    </row>
    <row r="135" spans="1:11" ht="15" customHeight="1" thickBot="1" x14ac:dyDescent="0.6">
      <c r="A135" s="84" t="s">
        <v>9</v>
      </c>
      <c r="B135" s="85"/>
      <c r="C135" s="85"/>
      <c r="D135" s="85"/>
      <c r="E135" s="85"/>
      <c r="F135" s="85"/>
      <c r="G135" s="85"/>
      <c r="H135" s="85"/>
      <c r="I135" s="86"/>
      <c r="J135" s="87">
        <v>1757.8899999999999</v>
      </c>
      <c r="K135" s="88"/>
    </row>
    <row r="136" spans="1:11" ht="24" thickBot="1" x14ac:dyDescent="0.6">
      <c r="A136" s="84" t="s">
        <v>21</v>
      </c>
      <c r="B136" s="85"/>
      <c r="C136" s="85"/>
      <c r="D136" s="85"/>
      <c r="E136" s="85"/>
      <c r="F136" s="85"/>
      <c r="G136" s="85"/>
      <c r="H136" s="85"/>
      <c r="I136" s="86"/>
      <c r="J136" s="89">
        <v>0</v>
      </c>
      <c r="K136" s="90"/>
    </row>
    <row r="137" spans="1:11" ht="24" thickBot="1" x14ac:dyDescent="0.6">
      <c r="A137" s="84" t="s">
        <v>55</v>
      </c>
      <c r="B137" s="85"/>
      <c r="C137" s="85"/>
      <c r="D137" s="85"/>
      <c r="E137" s="85"/>
      <c r="F137" s="85"/>
      <c r="G137" s="85"/>
      <c r="H137" s="85"/>
      <c r="I137" s="86"/>
      <c r="J137" s="89">
        <v>0</v>
      </c>
      <c r="K137" s="90"/>
    </row>
    <row r="138" spans="1:11" ht="24" thickBot="1" x14ac:dyDescent="0.6">
      <c r="A138" s="84" t="s">
        <v>11</v>
      </c>
      <c r="B138" s="85"/>
      <c r="C138" s="85"/>
      <c r="D138" s="85"/>
      <c r="E138" s="85"/>
      <c r="F138" s="85"/>
      <c r="G138" s="85"/>
      <c r="H138" s="85"/>
      <c r="I138" s="86"/>
      <c r="J138" s="87">
        <f>SUM(J109:J134)</f>
        <v>0</v>
      </c>
      <c r="K138" s="88"/>
    </row>
    <row r="139" spans="1:11" ht="20.149999999999999" customHeight="1" thickBot="1" x14ac:dyDescent="0.6">
      <c r="A139" s="84" t="s">
        <v>22</v>
      </c>
      <c r="B139" s="85"/>
      <c r="C139" s="85"/>
      <c r="D139" s="85"/>
      <c r="E139" s="85"/>
      <c r="F139" s="85"/>
      <c r="G139" s="85"/>
      <c r="H139" s="85"/>
      <c r="I139" s="86"/>
      <c r="J139" s="89">
        <v>1739.25</v>
      </c>
      <c r="K139" s="90"/>
    </row>
    <row r="140" spans="1:11" ht="20.149999999999999" customHeight="1" thickBot="1" x14ac:dyDescent="0.6">
      <c r="A140" s="84" t="s">
        <v>23</v>
      </c>
      <c r="B140" s="85"/>
      <c r="C140" s="85"/>
      <c r="D140" s="85"/>
      <c r="E140" s="85"/>
      <c r="F140" s="85"/>
      <c r="G140" s="85"/>
      <c r="H140" s="85"/>
      <c r="I140" s="86"/>
      <c r="J140" s="87">
        <f>J135+J136+J137-J138</f>
        <v>1757.8899999999999</v>
      </c>
      <c r="K140" s="88"/>
    </row>
    <row r="141" spans="1:11" ht="20.149999999999999" customHeight="1" thickBot="1" x14ac:dyDescent="0.6">
      <c r="A141" s="109" t="s">
        <v>24</v>
      </c>
      <c r="B141" s="110"/>
      <c r="C141" s="110"/>
      <c r="D141" s="110"/>
      <c r="E141" s="110"/>
      <c r="F141" s="110"/>
      <c r="G141" s="110"/>
      <c r="H141" s="110"/>
      <c r="I141" s="111"/>
      <c r="J141" s="112">
        <f>J140/J139</f>
        <v>1.0107172631881558</v>
      </c>
      <c r="K141" s="113"/>
    </row>
    <row r="142" spans="1:11" ht="20.149999999999999" customHeight="1" thickBot="1" x14ac:dyDescent="0.6">
      <c r="A142" s="109" t="s">
        <v>56</v>
      </c>
      <c r="B142" s="110"/>
      <c r="C142" s="110"/>
      <c r="D142" s="110"/>
      <c r="E142" s="110"/>
      <c r="F142" s="110"/>
      <c r="G142" s="110"/>
      <c r="H142" s="110"/>
      <c r="I142" s="111"/>
      <c r="J142" s="112">
        <f>((G223+G224+G226-J138)/G225)</f>
        <v>1.0107172631881558</v>
      </c>
      <c r="K142" s="113"/>
    </row>
    <row r="143" spans="1:11" ht="20.149999999999999" customHeight="1" x14ac:dyDescent="0.35">
      <c r="A143" s="145" t="s">
        <v>0</v>
      </c>
      <c r="B143" s="147" t="s">
        <v>1</v>
      </c>
      <c r="C143" s="148"/>
      <c r="D143" s="148"/>
      <c r="E143" s="149"/>
      <c r="F143" s="102" t="s">
        <v>2</v>
      </c>
      <c r="G143" s="120" t="s">
        <v>66</v>
      </c>
      <c r="H143" s="102" t="s">
        <v>4</v>
      </c>
      <c r="I143" s="102" t="s">
        <v>5</v>
      </c>
      <c r="J143" s="102" t="s">
        <v>6</v>
      </c>
      <c r="K143" s="104" t="s">
        <v>7</v>
      </c>
    </row>
    <row r="144" spans="1:11" ht="20.149999999999999" customHeight="1" x14ac:dyDescent="0.35">
      <c r="A144" s="146"/>
      <c r="B144" s="27">
        <v>1</v>
      </c>
      <c r="C144" s="27">
        <v>2</v>
      </c>
      <c r="D144" s="27">
        <v>3</v>
      </c>
      <c r="E144" s="27">
        <v>4</v>
      </c>
      <c r="F144" s="103"/>
      <c r="G144" s="121"/>
      <c r="H144" s="103"/>
      <c r="I144" s="103"/>
      <c r="J144" s="103"/>
      <c r="K144" s="105"/>
    </row>
    <row r="145" spans="1:11" ht="20.149999999999999" customHeight="1" x14ac:dyDescent="0.55000000000000004">
      <c r="A145" s="106" t="s">
        <v>61</v>
      </c>
      <c r="B145" s="107"/>
      <c r="C145" s="107"/>
      <c r="D145" s="107"/>
      <c r="E145" s="107"/>
      <c r="F145" s="107"/>
      <c r="G145" s="107"/>
      <c r="H145" s="107"/>
      <c r="I145" s="107"/>
      <c r="J145" s="107"/>
      <c r="K145" s="108"/>
    </row>
    <row r="146" spans="1:11" ht="20.149999999999999" customHeight="1" x14ac:dyDescent="0.35">
      <c r="A146" s="62"/>
      <c r="B146" s="14"/>
      <c r="C146" s="14"/>
      <c r="D146" s="14"/>
      <c r="E146" s="14"/>
      <c r="F146" s="34" t="s">
        <v>121</v>
      </c>
      <c r="G146" s="35" t="e">
        <f>#REF!</f>
        <v>#REF!</v>
      </c>
      <c r="H146" s="36"/>
      <c r="I146" s="28"/>
      <c r="J146" s="39" t="e">
        <f>(I146/G146)*H146</f>
        <v>#REF!</v>
      </c>
      <c r="K146" s="40">
        <f>(SUM(A146:E146))-I146</f>
        <v>0</v>
      </c>
    </row>
    <row r="147" spans="1:11" x14ac:dyDescent="0.35">
      <c r="A147" s="30"/>
      <c r="B147" s="14"/>
      <c r="C147" s="14"/>
      <c r="D147" s="14"/>
      <c r="E147" s="14"/>
      <c r="F147" s="34" t="s">
        <v>116</v>
      </c>
      <c r="G147" s="35" t="e">
        <f>#REF!</f>
        <v>#REF!</v>
      </c>
      <c r="H147" s="36"/>
      <c r="I147" s="28"/>
      <c r="J147" s="39" t="e">
        <f>(I147/G147)*H147</f>
        <v>#REF!</v>
      </c>
      <c r="K147" s="40">
        <f>(SUM(A147:E147))-I147</f>
        <v>0</v>
      </c>
    </row>
    <row r="148" spans="1:11" x14ac:dyDescent="0.35">
      <c r="A148" s="30"/>
      <c r="B148" s="14"/>
      <c r="C148" s="14"/>
      <c r="D148" s="14"/>
      <c r="E148" s="14"/>
      <c r="F148" s="34" t="s">
        <v>20</v>
      </c>
      <c r="G148" s="35" t="e">
        <f>#REF!</f>
        <v>#REF!</v>
      </c>
      <c r="H148" s="36"/>
      <c r="I148" s="28"/>
      <c r="J148" s="39" t="e">
        <f>(I148/G148)*H148</f>
        <v>#REF!</v>
      </c>
      <c r="K148" s="40">
        <f>(SUM(A148:E148))-I148</f>
        <v>0</v>
      </c>
    </row>
    <row r="149" spans="1:11" ht="15" thickBot="1" x14ac:dyDescent="0.4">
      <c r="A149" s="30"/>
      <c r="B149" s="14"/>
      <c r="C149" s="14"/>
      <c r="D149" s="14"/>
      <c r="E149" s="14"/>
      <c r="F149" s="34" t="e">
        <f>#REF!</f>
        <v>#REF!</v>
      </c>
      <c r="G149" s="35" t="e">
        <f>#REF!</f>
        <v>#REF!</v>
      </c>
      <c r="H149" s="36" t="e">
        <f>#REF!</f>
        <v>#REF!</v>
      </c>
      <c r="I149" s="28"/>
      <c r="J149" s="39" t="e">
        <f>(I149/G149)*H149</f>
        <v>#REF!</v>
      </c>
      <c r="K149" s="40">
        <f>(SUM(A149:E149))-I149</f>
        <v>0</v>
      </c>
    </row>
    <row r="150" spans="1:11" ht="15" customHeight="1" thickBot="1" x14ac:dyDescent="0.6">
      <c r="A150" s="84" t="s">
        <v>9</v>
      </c>
      <c r="B150" s="85"/>
      <c r="C150" s="85"/>
      <c r="D150" s="85"/>
      <c r="E150" s="85"/>
      <c r="F150" s="85"/>
      <c r="G150" s="85"/>
      <c r="H150" s="85"/>
      <c r="I150" s="86"/>
      <c r="J150" s="87">
        <v>436.28818840579714</v>
      </c>
      <c r="K150" s="88"/>
    </row>
    <row r="151" spans="1:11" ht="24" thickBot="1" x14ac:dyDescent="0.6">
      <c r="A151" s="84" t="s">
        <v>62</v>
      </c>
      <c r="B151" s="85"/>
      <c r="C151" s="85"/>
      <c r="D151" s="85"/>
      <c r="E151" s="85"/>
      <c r="F151" s="85"/>
      <c r="G151" s="85"/>
      <c r="H151" s="85"/>
      <c r="I151" s="86"/>
      <c r="J151" s="89">
        <v>0</v>
      </c>
      <c r="K151" s="90"/>
    </row>
    <row r="152" spans="1:11" ht="15" customHeight="1" thickBot="1" x14ac:dyDescent="0.6">
      <c r="A152" s="84" t="s">
        <v>55</v>
      </c>
      <c r="B152" s="85"/>
      <c r="C152" s="85"/>
      <c r="D152" s="85"/>
      <c r="E152" s="85"/>
      <c r="F152" s="85"/>
      <c r="G152" s="85"/>
      <c r="H152" s="85"/>
      <c r="I152" s="86"/>
      <c r="J152" s="89">
        <v>0</v>
      </c>
      <c r="K152" s="90"/>
    </row>
    <row r="153" spans="1:11" ht="24" thickBot="1" x14ac:dyDescent="0.6">
      <c r="A153" s="84" t="s">
        <v>11</v>
      </c>
      <c r="B153" s="85"/>
      <c r="C153" s="85"/>
      <c r="D153" s="85"/>
      <c r="E153" s="85"/>
      <c r="F153" s="85"/>
      <c r="G153" s="85"/>
      <c r="H153" s="85"/>
      <c r="I153" s="86"/>
      <c r="J153" s="87" t="e">
        <f>J146+J147+J148</f>
        <v>#REF!</v>
      </c>
      <c r="K153" s="88"/>
    </row>
    <row r="154" spans="1:11" ht="24" thickBot="1" x14ac:dyDescent="0.6">
      <c r="A154" s="84" t="s">
        <v>63</v>
      </c>
      <c r="B154" s="85"/>
      <c r="C154" s="85"/>
      <c r="D154" s="85"/>
      <c r="E154" s="85"/>
      <c r="F154" s="85"/>
      <c r="G154" s="85"/>
      <c r="H154" s="85"/>
      <c r="I154" s="86"/>
      <c r="J154" s="89">
        <v>599.5</v>
      </c>
      <c r="K154" s="90"/>
    </row>
    <row r="155" spans="1:11" ht="24" thickBot="1" x14ac:dyDescent="0.6">
      <c r="A155" s="84" t="s">
        <v>64</v>
      </c>
      <c r="B155" s="85"/>
      <c r="C155" s="85"/>
      <c r="D155" s="85"/>
      <c r="E155" s="85"/>
      <c r="F155" s="85"/>
      <c r="G155" s="85"/>
      <c r="H155" s="85"/>
      <c r="I155" s="86"/>
      <c r="J155" s="87" t="e">
        <f>J150+J151+J152-J153</f>
        <v>#REF!</v>
      </c>
      <c r="K155" s="88"/>
    </row>
    <row r="156" spans="1:11" ht="24" thickBot="1" x14ac:dyDescent="0.6">
      <c r="A156" s="109" t="s">
        <v>65</v>
      </c>
      <c r="B156" s="110"/>
      <c r="C156" s="110"/>
      <c r="D156" s="110"/>
      <c r="E156" s="110"/>
      <c r="F156" s="110"/>
      <c r="G156" s="110"/>
      <c r="H156" s="110"/>
      <c r="I156" s="111"/>
      <c r="J156" s="112" t="e">
        <f>J155/J154</f>
        <v>#REF!</v>
      </c>
      <c r="K156" s="113"/>
    </row>
    <row r="157" spans="1:11" ht="24" thickBot="1" x14ac:dyDescent="0.6">
      <c r="A157" s="109" t="s">
        <v>56</v>
      </c>
      <c r="B157" s="110"/>
      <c r="C157" s="110"/>
      <c r="D157" s="110"/>
      <c r="E157" s="110"/>
      <c r="F157" s="110"/>
      <c r="G157" s="110"/>
      <c r="H157" s="110"/>
      <c r="I157" s="111"/>
      <c r="J157" s="112">
        <f>((G223+G224+G226-J138)/G225)</f>
        <v>1.0107172631881558</v>
      </c>
      <c r="K157" s="113"/>
    </row>
    <row r="158" spans="1:11" x14ac:dyDescent="0.35">
      <c r="A158" s="145" t="s">
        <v>0</v>
      </c>
      <c r="B158" s="147" t="s">
        <v>1</v>
      </c>
      <c r="C158" s="148"/>
      <c r="D158" s="148"/>
      <c r="E158" s="149"/>
      <c r="F158" s="102" t="s">
        <v>2</v>
      </c>
      <c r="G158" s="120" t="s">
        <v>53</v>
      </c>
      <c r="H158" s="102" t="s">
        <v>4</v>
      </c>
      <c r="I158" s="102" t="s">
        <v>5</v>
      </c>
      <c r="J158" s="102" t="s">
        <v>6</v>
      </c>
      <c r="K158" s="104" t="s">
        <v>7</v>
      </c>
    </row>
    <row r="159" spans="1:11" ht="15" thickBot="1" x14ac:dyDescent="0.4">
      <c r="A159" s="158"/>
      <c r="B159" s="27">
        <v>1</v>
      </c>
      <c r="C159" s="27">
        <v>2</v>
      </c>
      <c r="D159" s="27">
        <v>3</v>
      </c>
      <c r="E159" s="27">
        <v>4</v>
      </c>
      <c r="F159" s="150"/>
      <c r="G159" s="159"/>
      <c r="H159" s="150"/>
      <c r="I159" s="150"/>
      <c r="J159" s="150"/>
      <c r="K159" s="151"/>
    </row>
    <row r="160" spans="1:11" ht="24" thickBot="1" x14ac:dyDescent="0.6">
      <c r="A160" s="152" t="s">
        <v>25</v>
      </c>
      <c r="B160" s="153"/>
      <c r="C160" s="153"/>
      <c r="D160" s="153"/>
      <c r="E160" s="153"/>
      <c r="F160" s="153"/>
      <c r="G160" s="153"/>
      <c r="H160" s="153"/>
      <c r="I160" s="153"/>
      <c r="J160" s="153"/>
      <c r="K160" s="154"/>
    </row>
    <row r="161" spans="1:11" x14ac:dyDescent="0.35">
      <c r="A161" s="28">
        <v>0.3</v>
      </c>
      <c r="B161" s="14"/>
      <c r="C161" s="14"/>
      <c r="D161" s="14"/>
      <c r="E161" s="14"/>
      <c r="F161" s="34" t="s">
        <v>174</v>
      </c>
      <c r="G161" s="35" t="e">
        <f>#REF!</f>
        <v>#REF!</v>
      </c>
      <c r="H161" s="36"/>
      <c r="I161" s="28">
        <v>92.9</v>
      </c>
      <c r="J161" s="37" t="e">
        <f>IF(G161=0,0,(I161/G161)*H161)</f>
        <v>#REF!</v>
      </c>
      <c r="K161" s="38" t="e">
        <f>IF(G161=0,0,(((SUM(A161:E161)/G161)-(I161/G161))*26))</f>
        <v>#REF!</v>
      </c>
    </row>
    <row r="162" spans="1:11" x14ac:dyDescent="0.35">
      <c r="A162" s="17">
        <v>0.2</v>
      </c>
      <c r="B162" s="15"/>
      <c r="C162" s="15"/>
      <c r="D162" s="15"/>
      <c r="E162" s="15"/>
      <c r="F162" s="34" t="s">
        <v>197</v>
      </c>
      <c r="G162" s="35" t="e">
        <f>#REF!</f>
        <v>#REF!</v>
      </c>
      <c r="H162" s="36"/>
      <c r="I162" s="17"/>
      <c r="J162" s="37" t="e">
        <f t="shared" ref="J162:J179" si="17">IF(G162=0,0,(I162/G162)*H162)</f>
        <v>#REF!</v>
      </c>
      <c r="K162" s="38" t="e">
        <f>IF(G162=0,0,(((SUM(A162:E162)/G162)-(I162/G162))*52))</f>
        <v>#REF!</v>
      </c>
    </row>
    <row r="163" spans="1:11" x14ac:dyDescent="0.35">
      <c r="A163" s="17">
        <v>1</v>
      </c>
      <c r="B163" s="15"/>
      <c r="C163" s="15"/>
      <c r="D163" s="15"/>
      <c r="E163" s="15"/>
      <c r="F163" s="34" t="s">
        <v>199</v>
      </c>
      <c r="G163" s="35" t="e">
        <f>#REF!</f>
        <v>#REF!</v>
      </c>
      <c r="H163" s="36"/>
      <c r="I163" s="17">
        <v>32.5</v>
      </c>
      <c r="J163" s="37" t="e">
        <f t="shared" si="17"/>
        <v>#REF!</v>
      </c>
      <c r="K163" s="38" t="e">
        <f t="shared" ref="K163:K169" si="18">IF(G163=0,0,(((SUM(A163:E163)/G163)-(I163/G163))*26))</f>
        <v>#REF!</v>
      </c>
    </row>
    <row r="164" spans="1:11" x14ac:dyDescent="0.35">
      <c r="A164" s="17"/>
      <c r="B164" s="15"/>
      <c r="C164" s="15"/>
      <c r="D164" s="15"/>
      <c r="E164" s="15"/>
      <c r="F164" s="34" t="s">
        <v>201</v>
      </c>
      <c r="G164" s="35" t="e">
        <f>#REF!</f>
        <v>#REF!</v>
      </c>
      <c r="H164" s="36"/>
      <c r="I164" s="17">
        <v>24.25</v>
      </c>
      <c r="J164" s="37" t="e">
        <f t="shared" si="17"/>
        <v>#REF!</v>
      </c>
      <c r="K164" s="38" t="e">
        <f>IF(G164=0,0,(((SUM(A164:E164)/G164)-(I164/G164))*52))</f>
        <v>#REF!</v>
      </c>
    </row>
    <row r="165" spans="1:11" x14ac:dyDescent="0.35">
      <c r="A165" s="29"/>
      <c r="B165" s="18"/>
      <c r="C165" s="18"/>
      <c r="D165" s="18"/>
      <c r="E165" s="18"/>
      <c r="F165" s="34" t="s">
        <v>202</v>
      </c>
      <c r="G165" s="35" t="e">
        <f>#REF!</f>
        <v>#REF!</v>
      </c>
      <c r="H165" s="36"/>
      <c r="I165" s="29">
        <v>40.299999999999997</v>
      </c>
      <c r="J165" s="37" t="e">
        <f t="shared" si="17"/>
        <v>#REF!</v>
      </c>
      <c r="K165" s="38" t="e">
        <f t="shared" si="18"/>
        <v>#REF!</v>
      </c>
    </row>
    <row r="166" spans="1:11" x14ac:dyDescent="0.35">
      <c r="A166" s="29">
        <v>32.75</v>
      </c>
      <c r="B166" s="18"/>
      <c r="C166" s="18"/>
      <c r="D166" s="18"/>
      <c r="E166" s="18"/>
      <c r="F166" s="34" t="s">
        <v>198</v>
      </c>
      <c r="G166" s="35" t="e">
        <f>#REF!</f>
        <v>#REF!</v>
      </c>
      <c r="H166" s="36"/>
      <c r="I166" s="29">
        <v>31.55</v>
      </c>
      <c r="J166" s="37" t="e">
        <f t="shared" si="17"/>
        <v>#REF!</v>
      </c>
      <c r="K166" s="38" t="e">
        <f>IF(G166=0,0,(((SUM(A166:E166)/G166)-(I166/G166))*52))</f>
        <v>#REF!</v>
      </c>
    </row>
    <row r="167" spans="1:11" x14ac:dyDescent="0.35">
      <c r="A167" s="29">
        <v>37.65</v>
      </c>
      <c r="B167" s="18"/>
      <c r="C167" s="18"/>
      <c r="D167" s="18"/>
      <c r="E167" s="18"/>
      <c r="F167" s="34" t="s">
        <v>200</v>
      </c>
      <c r="G167" s="35" t="e">
        <f>#REF!</f>
        <v>#REF!</v>
      </c>
      <c r="H167" s="36"/>
      <c r="I167" s="29">
        <v>22.6</v>
      </c>
      <c r="J167" s="37" t="e">
        <f t="shared" si="17"/>
        <v>#REF!</v>
      </c>
      <c r="K167" s="38" t="e">
        <f t="shared" si="18"/>
        <v>#REF!</v>
      </c>
    </row>
    <row r="168" spans="1:11" x14ac:dyDescent="0.35">
      <c r="A168" s="29"/>
      <c r="B168" s="18"/>
      <c r="C168" s="18"/>
      <c r="D168" s="18"/>
      <c r="E168" s="18"/>
      <c r="F168" s="34" t="s">
        <v>206</v>
      </c>
      <c r="G168" s="35" t="e">
        <f>#REF!</f>
        <v>#REF!</v>
      </c>
      <c r="H168" s="36"/>
      <c r="I168" s="29"/>
      <c r="J168" s="37" t="e">
        <f t="shared" si="17"/>
        <v>#REF!</v>
      </c>
      <c r="K168" s="38" t="e">
        <f>IF(G168=0,0,(((SUM(A168:E168)/G168)-(I168/G168))*52))</f>
        <v>#REF!</v>
      </c>
    </row>
    <row r="169" spans="1:11" x14ac:dyDescent="0.35">
      <c r="A169" s="29"/>
      <c r="B169" s="18"/>
      <c r="C169" s="18"/>
      <c r="D169" s="18"/>
      <c r="E169" s="18"/>
      <c r="F169" s="34" t="s">
        <v>207</v>
      </c>
      <c r="G169" s="35" t="e">
        <f>#REF!</f>
        <v>#REF!</v>
      </c>
      <c r="H169" s="36"/>
      <c r="I169" s="29"/>
      <c r="J169" s="37" t="e">
        <f t="shared" si="17"/>
        <v>#REF!</v>
      </c>
      <c r="K169" s="38" t="e">
        <f t="shared" si="18"/>
        <v>#REF!</v>
      </c>
    </row>
    <row r="170" spans="1:11" x14ac:dyDescent="0.35">
      <c r="A170" s="29"/>
      <c r="B170" s="18"/>
      <c r="C170" s="18"/>
      <c r="D170" s="18"/>
      <c r="E170" s="18"/>
      <c r="F170" s="34"/>
      <c r="G170" s="35">
        <v>80.400000000000006</v>
      </c>
      <c r="H170" s="36"/>
      <c r="I170" s="29"/>
      <c r="J170" s="37">
        <f t="shared" si="17"/>
        <v>0</v>
      </c>
      <c r="K170" s="38">
        <f>IF(G170=0,0,(((SUM(A170:E170)/G170)-(I170/G170))*52))</f>
        <v>0</v>
      </c>
    </row>
    <row r="171" spans="1:11" x14ac:dyDescent="0.35">
      <c r="A171" s="29"/>
      <c r="B171" s="18"/>
      <c r="C171" s="18"/>
      <c r="D171" s="18"/>
      <c r="E171" s="18"/>
      <c r="F171" s="34"/>
      <c r="G171" s="35">
        <v>40.950000000000003</v>
      </c>
      <c r="H171" s="36"/>
      <c r="I171" s="29"/>
      <c r="J171" s="37">
        <f t="shared" si="17"/>
        <v>0</v>
      </c>
      <c r="K171" s="38">
        <f t="shared" ref="K171:K179" si="19">IF(G171=0,0,(((SUM(A171:E171)/G171)-(I171/G171))*52))</f>
        <v>0</v>
      </c>
    </row>
    <row r="172" spans="1:11" x14ac:dyDescent="0.35">
      <c r="A172" s="29"/>
      <c r="B172" s="18"/>
      <c r="C172" s="18"/>
      <c r="D172" s="18"/>
      <c r="E172" s="18"/>
      <c r="F172" s="34"/>
      <c r="G172" s="35">
        <v>40.950000000000003</v>
      </c>
      <c r="H172" s="36"/>
      <c r="I172" s="29"/>
      <c r="J172" s="37">
        <f t="shared" si="17"/>
        <v>0</v>
      </c>
      <c r="K172" s="38">
        <f t="shared" si="19"/>
        <v>0</v>
      </c>
    </row>
    <row r="173" spans="1:11" x14ac:dyDescent="0.35">
      <c r="A173" s="29"/>
      <c r="B173" s="18"/>
      <c r="C173" s="18"/>
      <c r="D173" s="18"/>
      <c r="E173" s="18"/>
      <c r="F173" s="34"/>
      <c r="G173" s="35" t="e">
        <f>#REF!</f>
        <v>#REF!</v>
      </c>
      <c r="H173" s="36"/>
      <c r="I173" s="29"/>
      <c r="J173" s="37" t="e">
        <f t="shared" si="17"/>
        <v>#REF!</v>
      </c>
      <c r="K173" s="38" t="e">
        <f t="shared" si="19"/>
        <v>#REF!</v>
      </c>
    </row>
    <row r="174" spans="1:11" ht="24" customHeight="1" x14ac:dyDescent="0.35">
      <c r="A174" s="29"/>
      <c r="B174" s="18"/>
      <c r="C174" s="18"/>
      <c r="D174" s="18"/>
      <c r="E174" s="18"/>
      <c r="F174" s="34" t="e">
        <f>#REF!</f>
        <v>#REF!</v>
      </c>
      <c r="G174" s="35" t="e">
        <f>#REF!</f>
        <v>#REF!</v>
      </c>
      <c r="H174" s="36"/>
      <c r="I174" s="29"/>
      <c r="J174" s="37" t="e">
        <f t="shared" si="17"/>
        <v>#REF!</v>
      </c>
      <c r="K174" s="38" t="e">
        <f t="shared" si="19"/>
        <v>#REF!</v>
      </c>
    </row>
    <row r="175" spans="1:11" ht="19.5" customHeight="1" x14ac:dyDescent="0.35">
      <c r="A175" s="29"/>
      <c r="B175" s="18"/>
      <c r="C175" s="18"/>
      <c r="D175" s="18"/>
      <c r="E175" s="18"/>
      <c r="F175" s="34" t="e">
        <f>#REF!</f>
        <v>#REF!</v>
      </c>
      <c r="G175" s="35" t="e">
        <f>#REF!</f>
        <v>#REF!</v>
      </c>
      <c r="H175" s="36"/>
      <c r="I175" s="29"/>
      <c r="J175" s="37" t="e">
        <f t="shared" si="17"/>
        <v>#REF!</v>
      </c>
      <c r="K175" s="38" t="e">
        <f t="shared" si="19"/>
        <v>#REF!</v>
      </c>
    </row>
    <row r="176" spans="1:11" ht="19.5" customHeight="1" x14ac:dyDescent="0.35">
      <c r="A176" s="29"/>
      <c r="B176" s="18"/>
      <c r="C176" s="18"/>
      <c r="D176" s="18"/>
      <c r="E176" s="18"/>
      <c r="F176" s="34"/>
      <c r="G176" s="35" t="e">
        <f>#REF!</f>
        <v>#REF!</v>
      </c>
      <c r="H176" s="36" t="e">
        <f>#REF!</f>
        <v>#REF!</v>
      </c>
      <c r="I176" s="29"/>
      <c r="J176" s="37" t="e">
        <f t="shared" si="17"/>
        <v>#REF!</v>
      </c>
      <c r="K176" s="38" t="e">
        <f t="shared" si="19"/>
        <v>#REF!</v>
      </c>
    </row>
    <row r="177" spans="1:11" ht="19.5" customHeight="1" x14ac:dyDescent="0.35">
      <c r="A177" s="29"/>
      <c r="B177" s="18"/>
      <c r="C177" s="18"/>
      <c r="D177" s="18"/>
      <c r="E177" s="18"/>
      <c r="F177" s="34"/>
      <c r="G177" s="35" t="e">
        <f>#REF!</f>
        <v>#REF!</v>
      </c>
      <c r="H177" s="36" t="e">
        <f>#REF!</f>
        <v>#REF!</v>
      </c>
      <c r="I177" s="29"/>
      <c r="J177" s="37" t="e">
        <f t="shared" si="17"/>
        <v>#REF!</v>
      </c>
      <c r="K177" s="38" t="e">
        <f t="shared" si="19"/>
        <v>#REF!</v>
      </c>
    </row>
    <row r="178" spans="1:11" ht="19.5" customHeight="1" x14ac:dyDescent="0.35">
      <c r="A178" s="29"/>
      <c r="B178" s="18"/>
      <c r="C178" s="18"/>
      <c r="D178" s="18"/>
      <c r="E178" s="18"/>
      <c r="F178" s="34"/>
      <c r="G178" s="35" t="e">
        <f>#REF!</f>
        <v>#REF!</v>
      </c>
      <c r="H178" s="36" t="e">
        <f>#REF!</f>
        <v>#REF!</v>
      </c>
      <c r="I178" s="29"/>
      <c r="J178" s="37" t="e">
        <f t="shared" si="17"/>
        <v>#REF!</v>
      </c>
      <c r="K178" s="38" t="e">
        <f t="shared" si="19"/>
        <v>#REF!</v>
      </c>
    </row>
    <row r="179" spans="1:11" ht="15" customHeight="1" thickBot="1" x14ac:dyDescent="0.4">
      <c r="A179" s="29"/>
      <c r="B179" s="18"/>
      <c r="C179" s="18"/>
      <c r="D179" s="18"/>
      <c r="E179" s="18"/>
      <c r="F179" s="34"/>
      <c r="G179" s="35" t="e">
        <f>#REF!</f>
        <v>#REF!</v>
      </c>
      <c r="H179" s="36" t="e">
        <f>#REF!</f>
        <v>#REF!</v>
      </c>
      <c r="I179" s="29"/>
      <c r="J179" s="37" t="e">
        <f t="shared" si="17"/>
        <v>#REF!</v>
      </c>
      <c r="K179" s="38" t="e">
        <f t="shared" si="19"/>
        <v>#REF!</v>
      </c>
    </row>
    <row r="180" spans="1:11" ht="15" customHeight="1" thickBot="1" x14ac:dyDescent="0.6">
      <c r="A180" s="155" t="s">
        <v>26</v>
      </c>
      <c r="B180" s="156"/>
      <c r="C180" s="156"/>
      <c r="D180" s="156"/>
      <c r="E180" s="156"/>
      <c r="F180" s="156"/>
      <c r="G180" s="156"/>
      <c r="H180" s="156"/>
      <c r="I180" s="156"/>
      <c r="J180" s="156"/>
      <c r="K180" s="157"/>
    </row>
    <row r="181" spans="1:11" ht="15" customHeight="1" x14ac:dyDescent="0.35">
      <c r="A181" s="24">
        <v>3</v>
      </c>
      <c r="B181" s="52"/>
      <c r="C181" s="52"/>
      <c r="D181" s="52"/>
      <c r="E181" s="52"/>
      <c r="F181" s="66" t="s">
        <v>203</v>
      </c>
      <c r="G181" s="67" t="e">
        <f>#REF!</f>
        <v>#REF!</v>
      </c>
      <c r="H181" s="68"/>
      <c r="I181" s="24">
        <v>131.9</v>
      </c>
      <c r="J181" s="69" t="e">
        <f>IF(G181=0,0,(I181/G181)*H181)</f>
        <v>#REF!</v>
      </c>
      <c r="K181" s="70" t="e">
        <f>IF(G181=0,0,(((SUM(A181:E181)/G181)-(I181/G181))*26))</f>
        <v>#REF!</v>
      </c>
    </row>
    <row r="182" spans="1:11" ht="15" customHeight="1" x14ac:dyDescent="0.35">
      <c r="A182" s="17">
        <v>3.5</v>
      </c>
      <c r="B182" s="15"/>
      <c r="C182" s="15"/>
      <c r="D182" s="15"/>
      <c r="E182" s="15"/>
      <c r="F182" s="63" t="s">
        <v>120</v>
      </c>
      <c r="G182" s="64" t="e">
        <f>#REF!</f>
        <v>#REF!</v>
      </c>
      <c r="H182" s="65"/>
      <c r="I182" s="17">
        <v>17.600000000000001</v>
      </c>
      <c r="J182" s="39" t="e">
        <f t="shared" ref="J182:J197" si="20">IF(G182=0,0,(I182/G182)*H182)</f>
        <v>#REF!</v>
      </c>
      <c r="K182" s="40" t="e">
        <f>IF(G182=0,0,(((SUM(A182:E182)/G182)-(I182/G182))*52))</f>
        <v>#REF!</v>
      </c>
    </row>
    <row r="183" spans="1:11" ht="15" customHeight="1" x14ac:dyDescent="0.35">
      <c r="A183" s="17"/>
      <c r="B183" s="15"/>
      <c r="C183" s="15"/>
      <c r="D183" s="15"/>
      <c r="E183" s="15"/>
      <c r="F183" s="63" t="s">
        <v>204</v>
      </c>
      <c r="G183" s="64" t="e">
        <f>#REF!</f>
        <v>#REF!</v>
      </c>
      <c r="H183" s="65"/>
      <c r="I183" s="17">
        <v>124.5</v>
      </c>
      <c r="J183" s="39" t="e">
        <f t="shared" si="20"/>
        <v>#REF!</v>
      </c>
      <c r="K183" s="40" t="e">
        <f t="shared" ref="K183:K188" si="21">IF(G183=0,0,(((SUM(A183:E183)/G183)-(I183/G183))*26))</f>
        <v>#REF!</v>
      </c>
    </row>
    <row r="184" spans="1:11" ht="15" customHeight="1" x14ac:dyDescent="0.35">
      <c r="A184" s="17"/>
      <c r="B184" s="15"/>
      <c r="C184" s="15"/>
      <c r="D184" s="15"/>
      <c r="E184" s="15"/>
      <c r="F184" s="63" t="s">
        <v>164</v>
      </c>
      <c r="G184" s="64" t="e">
        <f>#REF!</f>
        <v>#REF!</v>
      </c>
      <c r="H184" s="65"/>
      <c r="I184" s="17"/>
      <c r="J184" s="39" t="e">
        <f t="shared" si="20"/>
        <v>#REF!</v>
      </c>
      <c r="K184" s="40" t="e">
        <f>IF(G184=0,0,(((SUM(A184:E184)/G184)-(I184/G184))*52))</f>
        <v>#REF!</v>
      </c>
    </row>
    <row r="185" spans="1:11" ht="15" customHeight="1" x14ac:dyDescent="0.35">
      <c r="A185" s="17"/>
      <c r="B185" s="15"/>
      <c r="C185" s="15"/>
      <c r="D185" s="15"/>
      <c r="E185" s="15"/>
      <c r="F185" s="63" t="s">
        <v>205</v>
      </c>
      <c r="G185" s="64" t="e">
        <f>#REF!</f>
        <v>#REF!</v>
      </c>
      <c r="H185" s="65"/>
      <c r="I185" s="17"/>
      <c r="J185" s="39" t="e">
        <f t="shared" si="20"/>
        <v>#REF!</v>
      </c>
      <c r="K185" s="40" t="e">
        <f>IF(G185=0,0,(((SUM(A185:E185)/G185)-(I185/G185))*52))</f>
        <v>#REF!</v>
      </c>
    </row>
    <row r="186" spans="1:11" ht="15" customHeight="1" x14ac:dyDescent="0.35">
      <c r="A186" s="17">
        <v>33.15</v>
      </c>
      <c r="B186" s="15"/>
      <c r="C186" s="15"/>
      <c r="D186" s="15"/>
      <c r="E186" s="15"/>
      <c r="F186" s="63" t="s">
        <v>209</v>
      </c>
      <c r="G186" s="64" t="e">
        <f>#REF!</f>
        <v>#REF!</v>
      </c>
      <c r="H186" s="65"/>
      <c r="I186" s="17">
        <v>25.55</v>
      </c>
      <c r="J186" s="39" t="e">
        <f t="shared" si="20"/>
        <v>#REF!</v>
      </c>
      <c r="K186" s="40" t="e">
        <f t="shared" si="21"/>
        <v>#REF!</v>
      </c>
    </row>
    <row r="187" spans="1:11" ht="20.149999999999999" customHeight="1" x14ac:dyDescent="0.35">
      <c r="A187" s="17">
        <v>1</v>
      </c>
      <c r="B187" s="15"/>
      <c r="C187" s="15"/>
      <c r="D187" s="15"/>
      <c r="E187" s="15"/>
      <c r="F187" s="63" t="s">
        <v>208</v>
      </c>
      <c r="G187" s="64" t="e">
        <f>#REF!</f>
        <v>#REF!</v>
      </c>
      <c r="H187" s="65"/>
      <c r="I187" s="17"/>
      <c r="J187" s="39" t="e">
        <f t="shared" si="20"/>
        <v>#REF!</v>
      </c>
      <c r="K187" s="40" t="e">
        <f>IF(G187=0,0,(((SUM(A187:E187)/G187)-(I187/G187))*52))</f>
        <v>#REF!</v>
      </c>
    </row>
    <row r="188" spans="1:11" ht="20.149999999999999" customHeight="1" x14ac:dyDescent="0.35">
      <c r="A188" s="17">
        <v>40.299999999999997</v>
      </c>
      <c r="B188" s="15"/>
      <c r="C188" s="15"/>
      <c r="D188" s="15"/>
      <c r="E188" s="15"/>
      <c r="F188" s="63"/>
      <c r="G188" s="64" t="e">
        <f>#REF!</f>
        <v>#REF!</v>
      </c>
      <c r="H188" s="65"/>
      <c r="I188" s="17"/>
      <c r="J188" s="39" t="e">
        <f t="shared" si="20"/>
        <v>#REF!</v>
      </c>
      <c r="K188" s="40" t="e">
        <f t="shared" si="21"/>
        <v>#REF!</v>
      </c>
    </row>
    <row r="189" spans="1:11" ht="20.149999999999999" customHeight="1" x14ac:dyDescent="0.35">
      <c r="A189" s="17">
        <v>24.35</v>
      </c>
      <c r="B189" s="15"/>
      <c r="C189" s="15"/>
      <c r="D189" s="15"/>
      <c r="E189" s="15"/>
      <c r="F189" s="63"/>
      <c r="G189" s="64" t="e">
        <f>#REF!</f>
        <v>#REF!</v>
      </c>
      <c r="H189" s="65"/>
      <c r="I189" s="17"/>
      <c r="J189" s="39" t="e">
        <f t="shared" si="20"/>
        <v>#REF!</v>
      </c>
      <c r="K189" s="40" t="e">
        <f>IF(G189=0,0,(((SUM(A189:E189)/G189)-(I189/G189))*52))</f>
        <v>#REF!</v>
      </c>
    </row>
    <row r="190" spans="1:11" ht="20.149999999999999" customHeight="1" x14ac:dyDescent="0.35">
      <c r="A190" s="17">
        <v>27.65</v>
      </c>
      <c r="B190" s="15"/>
      <c r="C190" s="15"/>
      <c r="D190" s="15"/>
      <c r="E190" s="15"/>
      <c r="F190" s="34"/>
      <c r="G190" s="64">
        <v>40.950000000000003</v>
      </c>
      <c r="H190" s="65"/>
      <c r="I190" s="17"/>
      <c r="J190" s="39">
        <f t="shared" si="20"/>
        <v>0</v>
      </c>
      <c r="K190" s="40">
        <f t="shared" ref="K190:K197" si="22">IF(G190=0,0,(((SUM(A190:E190)/G190)-(I190/G190))*52))</f>
        <v>35.111111111111107</v>
      </c>
    </row>
    <row r="191" spans="1:11" ht="20.149999999999999" customHeight="1" x14ac:dyDescent="0.35">
      <c r="A191" s="17">
        <v>25.55</v>
      </c>
      <c r="B191" s="15"/>
      <c r="C191" s="15"/>
      <c r="D191" s="15"/>
      <c r="E191" s="15"/>
      <c r="F191" s="63"/>
      <c r="G191" s="64">
        <v>40.950000000000003</v>
      </c>
      <c r="H191" s="65"/>
      <c r="I191" s="17"/>
      <c r="J191" s="39">
        <f t="shared" si="20"/>
        <v>0</v>
      </c>
      <c r="K191" s="40">
        <f t="shared" si="22"/>
        <v>32.444444444444443</v>
      </c>
    </row>
    <row r="192" spans="1:11" x14ac:dyDescent="0.35">
      <c r="A192" s="17">
        <v>22.6</v>
      </c>
      <c r="B192" s="15"/>
      <c r="C192" s="15"/>
      <c r="D192" s="15"/>
      <c r="E192" s="15"/>
      <c r="F192" s="63"/>
      <c r="G192" s="64">
        <v>39.4</v>
      </c>
      <c r="H192" s="65"/>
      <c r="I192" s="17"/>
      <c r="J192" s="39">
        <f t="shared" si="20"/>
        <v>0</v>
      </c>
      <c r="K192" s="40">
        <f t="shared" si="22"/>
        <v>29.827411167512693</v>
      </c>
    </row>
    <row r="193" spans="1:13" ht="20.149999999999999" customHeight="1" x14ac:dyDescent="0.35">
      <c r="A193" s="17">
        <v>31.65</v>
      </c>
      <c r="B193" s="15"/>
      <c r="C193" s="15"/>
      <c r="D193" s="15"/>
      <c r="E193" s="15"/>
      <c r="F193" s="63" t="e">
        <f>#REF!</f>
        <v>#REF!</v>
      </c>
      <c r="G193" s="64" t="e">
        <f>#REF!</f>
        <v>#REF!</v>
      </c>
      <c r="H193" s="65"/>
      <c r="I193" s="17"/>
      <c r="J193" s="39" t="e">
        <f t="shared" si="20"/>
        <v>#REF!</v>
      </c>
      <c r="K193" s="40" t="e">
        <f t="shared" si="22"/>
        <v>#REF!</v>
      </c>
    </row>
    <row r="194" spans="1:13" ht="20.149999999999999" customHeight="1" x14ac:dyDescent="0.35">
      <c r="A194" s="17"/>
      <c r="B194" s="15"/>
      <c r="C194" s="15"/>
      <c r="D194" s="15"/>
      <c r="E194" s="15"/>
      <c r="F194" s="63" t="e">
        <f>#REF!</f>
        <v>#REF!</v>
      </c>
      <c r="G194" s="64" t="e">
        <f>#REF!</f>
        <v>#REF!</v>
      </c>
      <c r="H194" s="65"/>
      <c r="I194" s="17"/>
      <c r="J194" s="39" t="e">
        <f t="shared" si="20"/>
        <v>#REF!</v>
      </c>
      <c r="K194" s="40" t="e">
        <f t="shared" si="22"/>
        <v>#REF!</v>
      </c>
    </row>
    <row r="195" spans="1:13" ht="20.149999999999999" customHeight="1" x14ac:dyDescent="0.35">
      <c r="A195" s="17"/>
      <c r="B195" s="15"/>
      <c r="C195" s="15"/>
      <c r="D195" s="15"/>
      <c r="E195" s="15"/>
      <c r="F195" s="63" t="e">
        <f>#REF!</f>
        <v>#REF!</v>
      </c>
      <c r="G195" s="64" t="e">
        <f>#REF!</f>
        <v>#REF!</v>
      </c>
      <c r="H195" s="65"/>
      <c r="I195" s="17"/>
      <c r="J195" s="39" t="e">
        <f t="shared" si="20"/>
        <v>#REF!</v>
      </c>
      <c r="K195" s="40" t="e">
        <f t="shared" si="22"/>
        <v>#REF!</v>
      </c>
    </row>
    <row r="196" spans="1:13" ht="20.149999999999999" customHeight="1" x14ac:dyDescent="0.35">
      <c r="A196" s="17"/>
      <c r="B196" s="15"/>
      <c r="C196" s="15"/>
      <c r="D196" s="15"/>
      <c r="E196" s="15"/>
      <c r="F196" s="63" t="e">
        <f>#REF!</f>
        <v>#REF!</v>
      </c>
      <c r="G196" s="64" t="e">
        <f>#REF!</f>
        <v>#REF!</v>
      </c>
      <c r="H196" s="65"/>
      <c r="I196" s="17"/>
      <c r="J196" s="39" t="e">
        <f t="shared" si="20"/>
        <v>#REF!</v>
      </c>
      <c r="K196" s="40" t="e">
        <f t="shared" si="22"/>
        <v>#REF!</v>
      </c>
    </row>
    <row r="197" spans="1:13" ht="20.149999999999999" customHeight="1" thickBot="1" x14ac:dyDescent="0.4">
      <c r="A197" s="33"/>
      <c r="B197" s="32"/>
      <c r="C197" s="32"/>
      <c r="D197" s="32"/>
      <c r="E197" s="32"/>
      <c r="F197" s="71" t="e">
        <f>#REF!</f>
        <v>#REF!</v>
      </c>
      <c r="G197" s="72" t="e">
        <f>#REF!</f>
        <v>#REF!</v>
      </c>
      <c r="H197" s="73"/>
      <c r="I197" s="33"/>
      <c r="J197" s="74" t="e">
        <f t="shared" si="20"/>
        <v>#REF!</v>
      </c>
      <c r="K197" s="75" t="e">
        <f t="shared" si="22"/>
        <v>#REF!</v>
      </c>
    </row>
    <row r="198" spans="1:13" ht="20.149999999999999" customHeight="1" thickBot="1" x14ac:dyDescent="0.6">
      <c r="A198" s="109" t="s">
        <v>9</v>
      </c>
      <c r="B198" s="110"/>
      <c r="C198" s="110"/>
      <c r="D198" s="110"/>
      <c r="E198" s="110"/>
      <c r="F198" s="110"/>
      <c r="G198" s="110"/>
      <c r="H198" s="110"/>
      <c r="I198" s="111"/>
      <c r="J198" s="87">
        <v>409.95678002576386</v>
      </c>
      <c r="K198" s="88"/>
    </row>
    <row r="199" spans="1:13" ht="20.149999999999999" customHeight="1" thickBot="1" x14ac:dyDescent="0.6">
      <c r="A199" s="109" t="s">
        <v>27</v>
      </c>
      <c r="B199" s="110"/>
      <c r="C199" s="110"/>
      <c r="D199" s="110"/>
      <c r="E199" s="110"/>
      <c r="F199" s="110"/>
      <c r="G199" s="110"/>
      <c r="H199" s="110"/>
      <c r="I199" s="111"/>
      <c r="J199" s="89">
        <v>0</v>
      </c>
      <c r="K199" s="90"/>
    </row>
    <row r="200" spans="1:13" ht="24" thickBot="1" x14ac:dyDescent="0.6">
      <c r="A200" s="109" t="s">
        <v>55</v>
      </c>
      <c r="B200" s="110"/>
      <c r="C200" s="110"/>
      <c r="D200" s="110"/>
      <c r="E200" s="110"/>
      <c r="F200" s="110"/>
      <c r="G200" s="110"/>
      <c r="H200" s="110"/>
      <c r="I200" s="111"/>
      <c r="J200" s="89">
        <v>0</v>
      </c>
      <c r="K200" s="90"/>
    </row>
    <row r="201" spans="1:13" ht="24" thickBot="1" x14ac:dyDescent="0.6">
      <c r="A201" s="109" t="s">
        <v>11</v>
      </c>
      <c r="B201" s="110"/>
      <c r="C201" s="110"/>
      <c r="D201" s="110"/>
      <c r="E201" s="110"/>
      <c r="F201" s="110"/>
      <c r="G201" s="110"/>
      <c r="H201" s="110"/>
      <c r="I201" s="111"/>
      <c r="J201" s="87" t="e">
        <f>SUM(J161:J172)+SUM(J181:J192)</f>
        <v>#REF!</v>
      </c>
      <c r="K201" s="88"/>
    </row>
    <row r="202" spans="1:13" ht="24" customHeight="1" thickBot="1" x14ac:dyDescent="0.6">
      <c r="A202" s="109" t="s">
        <v>28</v>
      </c>
      <c r="B202" s="110"/>
      <c r="C202" s="110"/>
      <c r="D202" s="110"/>
      <c r="E202" s="110"/>
      <c r="F202" s="110"/>
      <c r="G202" s="110"/>
      <c r="H202" s="110"/>
      <c r="I202" s="111"/>
      <c r="J202" s="165">
        <v>348.25</v>
      </c>
      <c r="K202" s="166"/>
    </row>
    <row r="203" spans="1:13" ht="24" thickBot="1" x14ac:dyDescent="0.6">
      <c r="A203" s="109" t="s">
        <v>29</v>
      </c>
      <c r="B203" s="110"/>
      <c r="C203" s="110"/>
      <c r="D203" s="110"/>
      <c r="E203" s="110"/>
      <c r="F203" s="110"/>
      <c r="G203" s="110"/>
      <c r="H203" s="110"/>
      <c r="I203" s="111"/>
      <c r="J203" s="87" t="e">
        <f>J198+J199+J200-J201</f>
        <v>#REF!</v>
      </c>
      <c r="K203" s="88"/>
    </row>
    <row r="204" spans="1:13" ht="24" thickBot="1" x14ac:dyDescent="0.6">
      <c r="A204" s="109" t="s">
        <v>30</v>
      </c>
      <c r="B204" s="110"/>
      <c r="C204" s="110"/>
      <c r="D204" s="110"/>
      <c r="E204" s="110"/>
      <c r="F204" s="110"/>
      <c r="G204" s="110"/>
      <c r="H204" s="110"/>
      <c r="I204" s="111"/>
      <c r="J204" s="112" t="e">
        <f>J203/J202</f>
        <v>#REF!</v>
      </c>
      <c r="K204" s="113"/>
      <c r="L204" s="3"/>
      <c r="M204" s="2"/>
    </row>
    <row r="205" spans="1:13" ht="24" thickBot="1" x14ac:dyDescent="0.6">
      <c r="A205" s="85" t="s">
        <v>56</v>
      </c>
      <c r="B205" s="85"/>
      <c r="C205" s="85"/>
      <c r="D205" s="85"/>
      <c r="E205" s="85"/>
      <c r="F205" s="85"/>
      <c r="G205" s="85"/>
      <c r="H205" s="85"/>
      <c r="I205" s="86"/>
      <c r="J205" s="112" t="e">
        <f>((H223+H224+H226-J201)/H225)</f>
        <v>#REF!</v>
      </c>
      <c r="K205" s="113"/>
      <c r="L205" s="3"/>
      <c r="M205" s="2"/>
    </row>
    <row r="206" spans="1:13" ht="24" thickBot="1" x14ac:dyDescent="0.6">
      <c r="A206" s="160" t="s">
        <v>31</v>
      </c>
      <c r="B206" s="161"/>
      <c r="C206" s="161"/>
      <c r="D206" s="161"/>
      <c r="E206" s="161"/>
      <c r="F206" s="161"/>
      <c r="G206" s="161"/>
      <c r="H206" s="161"/>
      <c r="I206" s="162"/>
      <c r="J206" s="163">
        <v>4318.1256176473144</v>
      </c>
      <c r="K206" s="164"/>
      <c r="L206" s="3"/>
      <c r="M206" s="2"/>
    </row>
    <row r="207" spans="1:13" ht="24" thickBot="1" x14ac:dyDescent="0.6">
      <c r="A207" s="160" t="s">
        <v>32</v>
      </c>
      <c r="B207" s="161"/>
      <c r="C207" s="161"/>
      <c r="D207" s="161"/>
      <c r="E207" s="161"/>
      <c r="F207" s="161"/>
      <c r="G207" s="161"/>
      <c r="H207" s="161"/>
      <c r="I207" s="162"/>
      <c r="J207" s="163">
        <f>J57+J136+J199+J151</f>
        <v>0</v>
      </c>
      <c r="K207" s="164"/>
      <c r="L207" s="3"/>
      <c r="M207" s="2"/>
    </row>
    <row r="208" spans="1:13" ht="24" thickBot="1" x14ac:dyDescent="0.6">
      <c r="A208" s="160" t="s">
        <v>54</v>
      </c>
      <c r="B208" s="161"/>
      <c r="C208" s="161"/>
      <c r="D208" s="161"/>
      <c r="E208" s="161"/>
      <c r="F208" s="161"/>
      <c r="G208" s="161"/>
      <c r="H208" s="161"/>
      <c r="I208" s="162"/>
      <c r="J208" s="163">
        <f>J58+J137+J200+J152</f>
        <v>0</v>
      </c>
      <c r="K208" s="164"/>
      <c r="L208" s="3"/>
      <c r="M208" s="2"/>
    </row>
    <row r="209" spans="1:13" ht="24" thickBot="1" x14ac:dyDescent="0.6">
      <c r="A209" s="160" t="s">
        <v>33</v>
      </c>
      <c r="B209" s="161"/>
      <c r="C209" s="161"/>
      <c r="D209" s="161"/>
      <c r="E209" s="161"/>
      <c r="F209" s="161"/>
      <c r="G209" s="161"/>
      <c r="H209" s="161"/>
      <c r="I209" s="162"/>
      <c r="J209" s="163" t="e">
        <f>J59+J138+J201+J153</f>
        <v>#DIV/0!</v>
      </c>
      <c r="K209" s="164"/>
      <c r="L209" s="3"/>
      <c r="M209" s="2"/>
    </row>
    <row r="210" spans="1:13" ht="24" thickBot="1" x14ac:dyDescent="0.6">
      <c r="A210" s="160" t="s">
        <v>34</v>
      </c>
      <c r="B210" s="161"/>
      <c r="C210" s="161"/>
      <c r="D210" s="161"/>
      <c r="E210" s="161"/>
      <c r="F210" s="161"/>
      <c r="G210" s="161"/>
      <c r="H210" s="161"/>
      <c r="I210" s="162"/>
      <c r="J210" s="163">
        <f>J60+J139+J202+J154</f>
        <v>3485.75</v>
      </c>
      <c r="K210" s="164"/>
      <c r="L210" s="3"/>
      <c r="M210" s="2"/>
    </row>
    <row r="211" spans="1:13" ht="24" thickBot="1" x14ac:dyDescent="0.6">
      <c r="A211" s="160" t="s">
        <v>35</v>
      </c>
      <c r="B211" s="161"/>
      <c r="C211" s="161"/>
      <c r="D211" s="161"/>
      <c r="E211" s="161"/>
      <c r="F211" s="161"/>
      <c r="G211" s="161"/>
      <c r="H211" s="161"/>
      <c r="I211" s="162"/>
      <c r="J211" s="163" t="e">
        <f>J206+J207+J208-J209</f>
        <v>#DIV/0!</v>
      </c>
      <c r="K211" s="164"/>
      <c r="L211" s="3"/>
      <c r="M211" s="2"/>
    </row>
    <row r="212" spans="1:13" ht="24" thickBot="1" x14ac:dyDescent="0.6">
      <c r="A212" s="160" t="s">
        <v>36</v>
      </c>
      <c r="B212" s="161"/>
      <c r="C212" s="161"/>
      <c r="D212" s="161"/>
      <c r="E212" s="161"/>
      <c r="F212" s="161"/>
      <c r="G212" s="161"/>
      <c r="H212" s="161"/>
      <c r="I212" s="162"/>
      <c r="J212" s="167" t="e">
        <f>J211/J210</f>
        <v>#DIV/0!</v>
      </c>
      <c r="K212" s="168"/>
      <c r="L212" s="3"/>
      <c r="M212" s="2"/>
    </row>
    <row r="213" spans="1:13" ht="24" thickBot="1" x14ac:dyDescent="0.6">
      <c r="A213" s="169" t="s">
        <v>57</v>
      </c>
      <c r="B213" s="170"/>
      <c r="C213" s="170"/>
      <c r="D213" s="170"/>
      <c r="E213" s="170"/>
      <c r="F213" s="170"/>
      <c r="G213" s="170"/>
      <c r="H213" s="170"/>
      <c r="I213" s="171"/>
      <c r="J213" s="172" t="e">
        <f>((K223+K224+K226-J209))/K225</f>
        <v>#DIV/0!</v>
      </c>
      <c r="K213" s="173"/>
      <c r="L213" s="3"/>
      <c r="M213" s="2"/>
    </row>
    <row r="214" spans="1:13" ht="24" thickBot="1" x14ac:dyDescent="0.6">
      <c r="A214" s="190" t="s">
        <v>37</v>
      </c>
      <c r="B214" s="191"/>
      <c r="C214" s="191"/>
      <c r="D214" s="191"/>
      <c r="E214" s="191"/>
      <c r="F214" s="191"/>
      <c r="G214" s="191"/>
      <c r="H214" s="191"/>
      <c r="I214" s="191"/>
      <c r="J214" s="191"/>
      <c r="K214" s="192"/>
      <c r="L214" s="3"/>
      <c r="M214" s="2"/>
    </row>
    <row r="215" spans="1:13" ht="15" thickBot="1" x14ac:dyDescent="0.4">
      <c r="A215" s="193" t="s">
        <v>8</v>
      </c>
      <c r="B215" s="194"/>
      <c r="C215" s="194"/>
      <c r="D215" s="194"/>
      <c r="E215" s="195"/>
      <c r="F215" s="20" t="s">
        <v>38</v>
      </c>
      <c r="G215" s="19" t="s">
        <v>42</v>
      </c>
      <c r="H215" s="19" t="s">
        <v>43</v>
      </c>
      <c r="I215" s="19" t="s">
        <v>47</v>
      </c>
      <c r="J215" s="21" t="s">
        <v>46</v>
      </c>
      <c r="K215" s="21" t="s">
        <v>71</v>
      </c>
      <c r="L215" s="3"/>
      <c r="M215" s="2"/>
    </row>
    <row r="216" spans="1:13" x14ac:dyDescent="0.35">
      <c r="A216" s="196" t="s">
        <v>39</v>
      </c>
      <c r="B216" s="197"/>
      <c r="C216" s="197"/>
      <c r="D216" s="197"/>
      <c r="E216" s="198"/>
      <c r="F216" s="22">
        <v>70</v>
      </c>
      <c r="G216" s="46" t="s">
        <v>38</v>
      </c>
      <c r="H216" s="23"/>
      <c r="I216" s="24">
        <v>1</v>
      </c>
      <c r="J216" s="24">
        <v>13</v>
      </c>
      <c r="K216" s="25">
        <v>40</v>
      </c>
      <c r="L216" s="3"/>
      <c r="M216" s="2"/>
    </row>
    <row r="217" spans="1:13" ht="15" thickBot="1" x14ac:dyDescent="0.4">
      <c r="A217" s="199" t="s">
        <v>40</v>
      </c>
      <c r="B217" s="200"/>
      <c r="C217" s="200"/>
      <c r="D217" s="200"/>
      <c r="E217" s="201"/>
      <c r="F217" s="26">
        <v>36</v>
      </c>
      <c r="G217" s="47" t="s">
        <v>52</v>
      </c>
      <c r="H217" s="185" t="e">
        <f>(H216*34)+(I216*17)+(J216*8)+(K216*6)-((SUM(K161:K171))+(SUM(K181:K189)))</f>
        <v>#REF!</v>
      </c>
      <c r="I217" s="186"/>
      <c r="J217" s="186"/>
      <c r="K217" s="187"/>
      <c r="L217" s="3"/>
    </row>
    <row r="218" spans="1:13" ht="15" thickBot="1" x14ac:dyDescent="0.4">
      <c r="A218" s="199" t="s">
        <v>41</v>
      </c>
      <c r="B218" s="200"/>
      <c r="C218" s="200"/>
      <c r="D218" s="200"/>
      <c r="E218" s="201"/>
      <c r="F218" s="26">
        <v>0</v>
      </c>
      <c r="G218" s="202" t="s">
        <v>45</v>
      </c>
      <c r="H218" s="203"/>
      <c r="I218" s="203"/>
      <c r="J218" s="203"/>
      <c r="K218" s="204"/>
      <c r="L218" s="3"/>
    </row>
    <row r="219" spans="1:13" x14ac:dyDescent="0.35">
      <c r="A219" s="174" t="s">
        <v>48</v>
      </c>
      <c r="B219" s="175"/>
      <c r="C219" s="175"/>
      <c r="D219" s="175"/>
      <c r="E219" s="176"/>
      <c r="F219" s="180" t="e">
        <f>(F216+(F217*2)+(F218*3))-(SUM(K5:K37))</f>
        <v>#DIV/0!</v>
      </c>
      <c r="G219" s="46" t="s">
        <v>38</v>
      </c>
      <c r="H219" s="182">
        <v>287</v>
      </c>
      <c r="I219" s="183"/>
      <c r="J219" s="183"/>
      <c r="K219" s="184"/>
      <c r="L219" s="3"/>
    </row>
    <row r="220" spans="1:13" ht="15" thickBot="1" x14ac:dyDescent="0.4">
      <c r="A220" s="177"/>
      <c r="B220" s="178"/>
      <c r="C220" s="178"/>
      <c r="D220" s="178"/>
      <c r="E220" s="179"/>
      <c r="F220" s="181"/>
      <c r="G220" s="47" t="s">
        <v>52</v>
      </c>
      <c r="H220" s="185">
        <f>H219-(SUM(K109:K134))</f>
        <v>396</v>
      </c>
      <c r="I220" s="186"/>
      <c r="J220" s="186"/>
      <c r="K220" s="187"/>
      <c r="L220" s="3"/>
    </row>
    <row r="221" spans="1:13" x14ac:dyDescent="0.35">
      <c r="A221" s="188"/>
      <c r="B221" s="188"/>
      <c r="C221" s="188"/>
      <c r="D221" s="188"/>
      <c r="E221" s="188"/>
      <c r="F221" s="10"/>
      <c r="H221" s="189"/>
      <c r="I221" s="189"/>
      <c r="J221" s="189"/>
      <c r="K221" s="189"/>
      <c r="L221" s="3"/>
    </row>
    <row r="222" spans="1:13" x14ac:dyDescent="0.35">
      <c r="A222" s="208"/>
      <c r="B222" s="208"/>
      <c r="C222" s="208"/>
      <c r="D222" s="208"/>
      <c r="E222" s="208"/>
      <c r="F222" s="11" t="s">
        <v>8</v>
      </c>
      <c r="G222" s="11" t="s">
        <v>49</v>
      </c>
      <c r="H222" s="209" t="s">
        <v>50</v>
      </c>
      <c r="I222" s="209"/>
      <c r="J222" t="s">
        <v>61</v>
      </c>
      <c r="K222" t="s">
        <v>51</v>
      </c>
      <c r="L222" s="3"/>
    </row>
    <row r="223" spans="1:13" x14ac:dyDescent="0.35">
      <c r="A223" s="205" t="s">
        <v>9</v>
      </c>
      <c r="B223" s="205"/>
      <c r="C223" s="205"/>
      <c r="D223" s="205"/>
      <c r="E223" s="205"/>
      <c r="F223" s="12">
        <f>J56</f>
        <v>1713.9906492157534</v>
      </c>
      <c r="G223" s="12">
        <f>J135</f>
        <v>1757.8899999999999</v>
      </c>
      <c r="H223" s="206">
        <f>J198</f>
        <v>409.95678002576386</v>
      </c>
      <c r="I223" s="206"/>
      <c r="J223" s="49">
        <f>J150</f>
        <v>436.28818840579714</v>
      </c>
      <c r="K223" s="13">
        <f>SUM(F223:J223)</f>
        <v>4318.1256176473144</v>
      </c>
      <c r="L223" s="3"/>
    </row>
    <row r="224" spans="1:13" x14ac:dyDescent="0.35">
      <c r="A224" s="205" t="s">
        <v>58</v>
      </c>
      <c r="B224" s="205"/>
      <c r="C224" s="205"/>
      <c r="D224" s="205"/>
      <c r="E224" s="205"/>
      <c r="F224" s="12">
        <f>J57</f>
        <v>0</v>
      </c>
      <c r="G224" s="12">
        <f>J136</f>
        <v>0</v>
      </c>
      <c r="H224" s="206">
        <f>J199</f>
        <v>0</v>
      </c>
      <c r="I224" s="206"/>
      <c r="J224" s="49">
        <f>J151</f>
        <v>0</v>
      </c>
      <c r="K224" s="13">
        <f>SUM(F224:J224)</f>
        <v>0</v>
      </c>
      <c r="L224" s="3"/>
    </row>
    <row r="225" spans="1:16" x14ac:dyDescent="0.35">
      <c r="A225" s="205" t="s">
        <v>59</v>
      </c>
      <c r="B225" s="205"/>
      <c r="C225" s="205"/>
      <c r="D225" s="205"/>
      <c r="E225" s="205"/>
      <c r="F225" s="12">
        <f>J60</f>
        <v>798.75</v>
      </c>
      <c r="G225" s="12">
        <f>J139</f>
        <v>1739.25</v>
      </c>
      <c r="H225" s="206">
        <f>J202</f>
        <v>348.25</v>
      </c>
      <c r="I225" s="206"/>
      <c r="J225" s="49">
        <f>J154</f>
        <v>599.5</v>
      </c>
      <c r="K225" s="13">
        <f>SUM(F225:J225)</f>
        <v>3485.75</v>
      </c>
      <c r="L225" s="3"/>
    </row>
    <row r="226" spans="1:16" x14ac:dyDescent="0.35">
      <c r="A226" s="205" t="s">
        <v>60</v>
      </c>
      <c r="B226" s="205"/>
      <c r="C226" s="205"/>
      <c r="D226" s="205"/>
      <c r="E226" s="205"/>
      <c r="F226" s="48">
        <f>J58</f>
        <v>0</v>
      </c>
      <c r="G226" s="49">
        <f>J137</f>
        <v>0</v>
      </c>
      <c r="H226" s="207">
        <f>J200</f>
        <v>0</v>
      </c>
      <c r="I226" s="207"/>
      <c r="J226" s="49">
        <f>J152</f>
        <v>0</v>
      </c>
      <c r="K226" s="49">
        <f>SUM(F226:J226)</f>
        <v>0</v>
      </c>
      <c r="L226" s="3"/>
    </row>
    <row r="227" spans="1:16" x14ac:dyDescent="0.35">
      <c r="A227" s="205"/>
      <c r="B227" s="205"/>
      <c r="C227" s="205"/>
      <c r="D227" s="205"/>
      <c r="E227" s="205"/>
      <c r="F227" s="10"/>
      <c r="J227" s="8"/>
      <c r="L227" s="3"/>
    </row>
    <row r="228" spans="1:16" x14ac:dyDescent="0.35">
      <c r="A228" s="205"/>
      <c r="B228" s="205"/>
      <c r="C228" s="205"/>
      <c r="D228" s="205"/>
      <c r="E228" s="205"/>
      <c r="F228" s="10"/>
      <c r="J228" s="8"/>
      <c r="L228" s="3"/>
    </row>
    <row r="229" spans="1:16" x14ac:dyDescent="0.35">
      <c r="A229" s="208"/>
      <c r="B229" s="208"/>
      <c r="C229" s="208"/>
      <c r="D229" s="208"/>
      <c r="E229" s="208"/>
      <c r="F229" s="7"/>
      <c r="J229" s="8"/>
      <c r="L229" s="3"/>
    </row>
    <row r="230" spans="1:16" x14ac:dyDescent="0.35">
      <c r="A230" s="205"/>
      <c r="B230" s="205"/>
      <c r="C230" s="205"/>
      <c r="D230" s="205"/>
      <c r="E230" s="205"/>
      <c r="F230" s="10"/>
      <c r="J230" s="8"/>
      <c r="L230" s="2"/>
    </row>
    <row r="231" spans="1:16" x14ac:dyDescent="0.35">
      <c r="A231" s="205"/>
      <c r="B231" s="205"/>
      <c r="C231" s="205"/>
      <c r="D231" s="205"/>
      <c r="E231" s="205"/>
      <c r="F231" s="10"/>
      <c r="J231" s="8"/>
      <c r="L231" s="2"/>
    </row>
    <row r="232" spans="1:16" x14ac:dyDescent="0.35">
      <c r="A232" s="205"/>
      <c r="B232" s="205"/>
      <c r="C232" s="205"/>
      <c r="D232" s="205"/>
      <c r="E232" s="205"/>
      <c r="F232" s="10"/>
      <c r="J232" s="8"/>
      <c r="L232" s="2"/>
      <c r="M232" s="3"/>
      <c r="N232" s="4"/>
      <c r="O232" s="4"/>
      <c r="P232" s="4"/>
    </row>
    <row r="233" spans="1:16" x14ac:dyDescent="0.35">
      <c r="A233" s="205"/>
      <c r="B233" s="205"/>
      <c r="C233" s="205"/>
      <c r="D233" s="205"/>
      <c r="E233" s="205"/>
      <c r="F233" s="10"/>
      <c r="J233" s="8"/>
      <c r="L233" s="2"/>
    </row>
    <row r="234" spans="1:16" x14ac:dyDescent="0.35">
      <c r="A234" s="205"/>
      <c r="B234" s="205"/>
      <c r="C234" s="205"/>
      <c r="D234" s="205"/>
      <c r="E234" s="205"/>
      <c r="F234" s="10"/>
      <c r="J234" s="8"/>
      <c r="L234" s="2"/>
      <c r="M234" s="3"/>
      <c r="N234" s="4"/>
      <c r="O234" s="4"/>
      <c r="P234" s="4"/>
    </row>
    <row r="235" spans="1:16" x14ac:dyDescent="0.35">
      <c r="A235" s="205"/>
      <c r="B235" s="205"/>
      <c r="C235" s="205"/>
      <c r="D235" s="205"/>
      <c r="E235" s="205"/>
      <c r="F235" s="10"/>
      <c r="J235" s="8"/>
      <c r="L235" s="2"/>
      <c r="M235" s="3"/>
      <c r="N235" s="4"/>
      <c r="O235" s="4"/>
      <c r="P235" s="4"/>
    </row>
    <row r="236" spans="1:16" x14ac:dyDescent="0.35">
      <c r="A236" s="208"/>
      <c r="B236" s="208"/>
      <c r="C236" s="208"/>
      <c r="D236" s="208"/>
      <c r="E236" s="208"/>
      <c r="F236" s="7"/>
      <c r="J236" s="8"/>
      <c r="L236" s="2"/>
      <c r="M236" s="3"/>
      <c r="N236" s="4"/>
      <c r="O236" s="4"/>
      <c r="P236" s="4"/>
    </row>
    <row r="237" spans="1:16" x14ac:dyDescent="0.35">
      <c r="A237" s="208"/>
      <c r="B237" s="208"/>
      <c r="C237" s="208"/>
      <c r="D237" s="208"/>
      <c r="E237" s="208"/>
      <c r="F237" s="7"/>
      <c r="J237" s="8"/>
      <c r="L237" s="2"/>
      <c r="M237" s="3"/>
      <c r="N237" s="4"/>
      <c r="O237" s="4"/>
      <c r="P237" s="4"/>
    </row>
    <row r="238" spans="1:16" x14ac:dyDescent="0.35">
      <c r="A238" s="6"/>
      <c r="B238" s="6"/>
      <c r="C238" s="6"/>
      <c r="D238" s="6"/>
      <c r="E238" s="6"/>
      <c r="F238" s="6"/>
      <c r="J238" s="8"/>
      <c r="L238" s="2"/>
      <c r="M238" s="3"/>
      <c r="N238" s="2"/>
      <c r="O238" s="4"/>
      <c r="P238" s="4"/>
    </row>
    <row r="239" spans="1:16" x14ac:dyDescent="0.35">
      <c r="A239" s="6"/>
      <c r="B239" s="6"/>
      <c r="C239" s="6"/>
      <c r="D239" s="6"/>
      <c r="E239" s="6"/>
      <c r="F239" s="6"/>
      <c r="J239" s="8"/>
      <c r="L239" s="4"/>
      <c r="M239" s="3"/>
      <c r="N239" s="2"/>
      <c r="O239" s="4"/>
      <c r="P239" s="4"/>
    </row>
    <row r="240" spans="1:16" x14ac:dyDescent="0.35">
      <c r="A240" s="6"/>
      <c r="B240" s="6"/>
      <c r="C240" s="6"/>
      <c r="D240" s="6"/>
      <c r="E240" s="6"/>
      <c r="F240" s="6"/>
      <c r="G240" s="9"/>
      <c r="H240" s="9"/>
      <c r="I240" s="9"/>
      <c r="J240" s="9"/>
      <c r="K240" s="9"/>
      <c r="L240" s="2"/>
      <c r="M240" s="3"/>
      <c r="N240" s="4"/>
      <c r="O240" s="4"/>
      <c r="P240" s="4"/>
    </row>
    <row r="241" spans="1:16" x14ac:dyDescent="0.35">
      <c r="A241" s="6"/>
      <c r="B241" s="6"/>
      <c r="C241" s="6"/>
      <c r="D241" s="6"/>
      <c r="E241" s="6"/>
      <c r="F241" s="6"/>
      <c r="G241" s="9"/>
      <c r="H241" s="9"/>
      <c r="I241" s="9"/>
      <c r="J241" s="9"/>
      <c r="K241" s="9"/>
      <c r="L241" s="2"/>
      <c r="M241" s="3"/>
      <c r="N241" s="2"/>
      <c r="O241" s="4"/>
      <c r="P241" s="4"/>
    </row>
    <row r="242" spans="1:16" x14ac:dyDescent="0.35">
      <c r="A242" s="6"/>
      <c r="B242" s="6"/>
      <c r="C242" s="6"/>
      <c r="D242" s="6"/>
      <c r="E242" s="6"/>
      <c r="F242" s="7"/>
      <c r="G242" s="6"/>
      <c r="H242" s="6"/>
      <c r="I242" s="6"/>
      <c r="J242" s="6"/>
      <c r="K242" s="7"/>
      <c r="L242" s="2"/>
      <c r="M242" s="3"/>
      <c r="N242" s="2"/>
      <c r="O242" s="4"/>
      <c r="P242" s="4"/>
    </row>
    <row r="243" spans="1:16" x14ac:dyDescent="0.35">
      <c r="F243" s="8"/>
      <c r="G243" s="8"/>
      <c r="H243" s="8"/>
      <c r="I243" s="8"/>
      <c r="J243" s="8"/>
      <c r="L243" s="2"/>
      <c r="M243" s="3"/>
      <c r="N243" s="2"/>
      <c r="O243" s="4"/>
      <c r="P243" s="4"/>
    </row>
    <row r="244" spans="1:16" x14ac:dyDescent="0.35">
      <c r="F244" s="8"/>
      <c r="G244" s="8"/>
      <c r="H244" s="8"/>
      <c r="I244" s="8"/>
      <c r="J244" s="8"/>
      <c r="L244" s="2"/>
      <c r="M244" s="3"/>
      <c r="N244" s="2"/>
      <c r="O244" s="4"/>
      <c r="P244" s="4"/>
    </row>
    <row r="245" spans="1:16" x14ac:dyDescent="0.35">
      <c r="F245" s="8"/>
      <c r="G245" s="8"/>
      <c r="H245" s="8"/>
      <c r="I245" s="8"/>
      <c r="J245" s="8"/>
      <c r="L245" s="4"/>
      <c r="M245" s="3"/>
      <c r="N245" s="4"/>
      <c r="O245" s="4"/>
      <c r="P245" s="4"/>
    </row>
    <row r="246" spans="1:16" x14ac:dyDescent="0.35">
      <c r="F246" s="8"/>
      <c r="G246" s="8"/>
      <c r="H246" s="8"/>
      <c r="I246" s="8"/>
      <c r="J246" s="8"/>
      <c r="L246" s="2"/>
      <c r="M246" s="3"/>
      <c r="N246" s="2"/>
      <c r="O246" s="4"/>
      <c r="P246" s="4"/>
    </row>
    <row r="247" spans="1:16" x14ac:dyDescent="0.35">
      <c r="F247" s="8"/>
      <c r="G247" s="8"/>
      <c r="H247" s="8"/>
      <c r="I247" s="8"/>
      <c r="J247" s="8"/>
      <c r="L247" s="2"/>
      <c r="M247" s="3"/>
      <c r="N247" s="2"/>
      <c r="O247" s="4"/>
      <c r="P247" s="4"/>
    </row>
    <row r="248" spans="1:16" x14ac:dyDescent="0.35">
      <c r="F248" s="8"/>
      <c r="G248" s="8"/>
      <c r="H248" s="8"/>
      <c r="I248" s="8"/>
      <c r="J248" s="8"/>
      <c r="L248" s="2"/>
      <c r="M248" s="3"/>
      <c r="N248" s="2"/>
      <c r="O248" s="4"/>
      <c r="P248" s="4"/>
    </row>
    <row r="249" spans="1:16" x14ac:dyDescent="0.35">
      <c r="F249" s="8"/>
      <c r="G249" s="8"/>
      <c r="H249" s="8"/>
      <c r="I249" s="8"/>
      <c r="J249" s="8"/>
      <c r="L249" s="2"/>
      <c r="M249" s="3"/>
      <c r="N249" s="2"/>
      <c r="O249" s="4"/>
      <c r="P249" s="4"/>
    </row>
    <row r="250" spans="1:16" x14ac:dyDescent="0.35">
      <c r="F250" s="8"/>
      <c r="G250" s="8"/>
      <c r="H250" s="8"/>
      <c r="I250" s="8"/>
      <c r="J250" s="8"/>
      <c r="L250" s="2"/>
      <c r="M250" s="3"/>
      <c r="N250" s="2"/>
      <c r="O250" s="4"/>
      <c r="P250" s="4"/>
    </row>
    <row r="251" spans="1:16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L251" s="2"/>
      <c r="M251" s="3"/>
      <c r="N251" s="2"/>
      <c r="O251" s="4"/>
      <c r="P251" s="4"/>
    </row>
    <row r="252" spans="1:16" x14ac:dyDescent="0.35">
      <c r="L252" s="2"/>
      <c r="M252" s="3"/>
      <c r="N252" s="2"/>
      <c r="O252" s="4"/>
      <c r="P252" s="4"/>
    </row>
    <row r="253" spans="1:16" x14ac:dyDescent="0.35">
      <c r="L253" s="2"/>
      <c r="M253" s="3"/>
      <c r="N253" s="2"/>
      <c r="O253" s="4"/>
      <c r="P253" s="4"/>
    </row>
    <row r="254" spans="1:16" x14ac:dyDescent="0.35">
      <c r="L254" s="2"/>
      <c r="M254" s="3"/>
      <c r="N254" s="2"/>
      <c r="O254" s="4"/>
      <c r="P254" s="5"/>
    </row>
  </sheetData>
  <sheetProtection selectLockedCells="1" selectUnlockedCells="1"/>
  <sortState xmlns:xlrd2="http://schemas.microsoft.com/office/spreadsheetml/2017/richdata2" ref="F161:F167">
    <sortCondition ref="F161:F167"/>
  </sortState>
  <mergeCells count="185">
    <mergeCell ref="A235:E235"/>
    <mergeCell ref="A236:E236"/>
    <mergeCell ref="A237:E237"/>
    <mergeCell ref="A229:E229"/>
    <mergeCell ref="A230:E230"/>
    <mergeCell ref="A231:E231"/>
    <mergeCell ref="A232:E232"/>
    <mergeCell ref="A233:E233"/>
    <mergeCell ref="A234:E234"/>
    <mergeCell ref="A225:E225"/>
    <mergeCell ref="H225:I225"/>
    <mergeCell ref="A226:E226"/>
    <mergeCell ref="H226:I226"/>
    <mergeCell ref="A227:E227"/>
    <mergeCell ref="A228:E228"/>
    <mergeCell ref="A222:E222"/>
    <mergeCell ref="H222:I222"/>
    <mergeCell ref="A223:E223"/>
    <mergeCell ref="H223:I223"/>
    <mergeCell ref="A224:E224"/>
    <mergeCell ref="H224:I224"/>
    <mergeCell ref="A219:E220"/>
    <mergeCell ref="F219:F220"/>
    <mergeCell ref="H219:K219"/>
    <mergeCell ref="H220:K220"/>
    <mergeCell ref="A221:E221"/>
    <mergeCell ref="H221:K221"/>
    <mergeCell ref="A214:K214"/>
    <mergeCell ref="A215:E215"/>
    <mergeCell ref="A216:E216"/>
    <mergeCell ref="A217:E217"/>
    <mergeCell ref="H217:K217"/>
    <mergeCell ref="A218:E218"/>
    <mergeCell ref="G218:K218"/>
    <mergeCell ref="A211:I211"/>
    <mergeCell ref="J211:K211"/>
    <mergeCell ref="A212:I212"/>
    <mergeCell ref="J212:K212"/>
    <mergeCell ref="A213:I213"/>
    <mergeCell ref="J213:K213"/>
    <mergeCell ref="A208:I208"/>
    <mergeCell ref="J208:K208"/>
    <mergeCell ref="A209:I209"/>
    <mergeCell ref="J209:K209"/>
    <mergeCell ref="A210:I210"/>
    <mergeCell ref="J210:K210"/>
    <mergeCell ref="A205:I205"/>
    <mergeCell ref="J205:K205"/>
    <mergeCell ref="A206:I206"/>
    <mergeCell ref="J206:K206"/>
    <mergeCell ref="A207:I207"/>
    <mergeCell ref="J207:K207"/>
    <mergeCell ref="A202:I202"/>
    <mergeCell ref="J202:K202"/>
    <mergeCell ref="A203:I203"/>
    <mergeCell ref="J203:K203"/>
    <mergeCell ref="A204:I204"/>
    <mergeCell ref="J204:K204"/>
    <mergeCell ref="A199:I199"/>
    <mergeCell ref="J199:K199"/>
    <mergeCell ref="A200:I200"/>
    <mergeCell ref="J200:K200"/>
    <mergeCell ref="A201:I201"/>
    <mergeCell ref="J201:K201"/>
    <mergeCell ref="J158:J159"/>
    <mergeCell ref="K158:K159"/>
    <mergeCell ref="A160:K160"/>
    <mergeCell ref="A180:K180"/>
    <mergeCell ref="A198:I198"/>
    <mergeCell ref="J198:K198"/>
    <mergeCell ref="A156:I156"/>
    <mergeCell ref="J156:K156"/>
    <mergeCell ref="A157:I157"/>
    <mergeCell ref="J157:K157"/>
    <mergeCell ref="A158:A159"/>
    <mergeCell ref="B158:E158"/>
    <mergeCell ref="F158:F159"/>
    <mergeCell ref="G158:G159"/>
    <mergeCell ref="H158:H159"/>
    <mergeCell ref="I158:I159"/>
    <mergeCell ref="A153:I153"/>
    <mergeCell ref="J153:K153"/>
    <mergeCell ref="A154:I154"/>
    <mergeCell ref="J154:K154"/>
    <mergeCell ref="A155:I155"/>
    <mergeCell ref="J155:K155"/>
    <mergeCell ref="A145:K145"/>
    <mergeCell ref="A150:I150"/>
    <mergeCell ref="J150:K150"/>
    <mergeCell ref="A151:I151"/>
    <mergeCell ref="J151:K151"/>
    <mergeCell ref="A152:I152"/>
    <mergeCell ref="J152:K152"/>
    <mergeCell ref="A142:I142"/>
    <mergeCell ref="J142:K142"/>
    <mergeCell ref="A143:A144"/>
    <mergeCell ref="B143:E143"/>
    <mergeCell ref="F143:F144"/>
    <mergeCell ref="G143:G144"/>
    <mergeCell ref="H143:H144"/>
    <mergeCell ref="I143:I144"/>
    <mergeCell ref="J143:J144"/>
    <mergeCell ref="K143:K144"/>
    <mergeCell ref="A139:I139"/>
    <mergeCell ref="J139:K139"/>
    <mergeCell ref="A140:I140"/>
    <mergeCell ref="J140:K140"/>
    <mergeCell ref="A141:I141"/>
    <mergeCell ref="J141:K141"/>
    <mergeCell ref="A136:I136"/>
    <mergeCell ref="J136:K136"/>
    <mergeCell ref="A137:I137"/>
    <mergeCell ref="J137:K137"/>
    <mergeCell ref="A138:I138"/>
    <mergeCell ref="J138:K138"/>
    <mergeCell ref="J106:J107"/>
    <mergeCell ref="K106:K107"/>
    <mergeCell ref="A108:K108"/>
    <mergeCell ref="A125:K125"/>
    <mergeCell ref="A135:I135"/>
    <mergeCell ref="J135:K135"/>
    <mergeCell ref="A106:A107"/>
    <mergeCell ref="B106:E106"/>
    <mergeCell ref="F106:F107"/>
    <mergeCell ref="G106:G107"/>
    <mergeCell ref="H106:H107"/>
    <mergeCell ref="I106:I107"/>
    <mergeCell ref="A102:I102"/>
    <mergeCell ref="J102:K102"/>
    <mergeCell ref="A103:I103"/>
    <mergeCell ref="J103:K103"/>
    <mergeCell ref="A104:I104"/>
    <mergeCell ref="J104:K104"/>
    <mergeCell ref="A99:I99"/>
    <mergeCell ref="J99:K99"/>
    <mergeCell ref="A100:I100"/>
    <mergeCell ref="J100:K100"/>
    <mergeCell ref="A101:I101"/>
    <mergeCell ref="J101:K101"/>
    <mergeCell ref="J64:J65"/>
    <mergeCell ref="K64:K65"/>
    <mergeCell ref="A66:K66"/>
    <mergeCell ref="A97:I97"/>
    <mergeCell ref="J97:K97"/>
    <mergeCell ref="A98:I98"/>
    <mergeCell ref="J98:K98"/>
    <mergeCell ref="A64:A65"/>
    <mergeCell ref="B64:E64"/>
    <mergeCell ref="F64:F65"/>
    <mergeCell ref="G64:G65"/>
    <mergeCell ref="H64:H65"/>
    <mergeCell ref="I64:I65"/>
    <mergeCell ref="A61:I61"/>
    <mergeCell ref="J61:K61"/>
    <mergeCell ref="A62:I62"/>
    <mergeCell ref="J62:K62"/>
    <mergeCell ref="A63:I63"/>
    <mergeCell ref="J63:K63"/>
    <mergeCell ref="A58:I58"/>
    <mergeCell ref="J58:K58"/>
    <mergeCell ref="A59:I59"/>
    <mergeCell ref="J59:K59"/>
    <mergeCell ref="A60:I60"/>
    <mergeCell ref="J60:K60"/>
    <mergeCell ref="A38:K38"/>
    <mergeCell ref="A44:K44"/>
    <mergeCell ref="A56:I56"/>
    <mergeCell ref="J56:K56"/>
    <mergeCell ref="A57:I57"/>
    <mergeCell ref="J57:K57"/>
    <mergeCell ref="A4:K4"/>
    <mergeCell ref="A9:K9"/>
    <mergeCell ref="A14:K14"/>
    <mergeCell ref="A22:K22"/>
    <mergeCell ref="A25:K25"/>
    <mergeCell ref="A31:K31"/>
    <mergeCell ref="A1:K1"/>
    <mergeCell ref="A2:A3"/>
    <mergeCell ref="B2:E2"/>
    <mergeCell ref="F2:F3"/>
    <mergeCell ref="G2:G3"/>
    <mergeCell ref="H2:H3"/>
    <mergeCell ref="I2:I3"/>
    <mergeCell ref="J2:J3"/>
    <mergeCell ref="K2:K3"/>
  </mergeCells>
  <conditionalFormatting sqref="L229:L236 M232:O232 M234:O236 P254">
    <cfRule type="cellIs" dxfId="7" priority="1" stopIfTrue="1" operator="lessThan">
      <formula>0</formula>
    </cfRule>
  </conditionalFormatting>
  <pageMargins left="0.28000000000000003" right="0.09" top="0.26" bottom="0.25" header="0.25" footer="0.25"/>
  <pageSetup orientation="portrait" blackAndWhite="1" r:id="rId1"/>
  <rowBreaks count="2" manualBreakCount="2">
    <brk id="105" max="10" man="1"/>
    <brk id="157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8D002-99DF-4EF6-9F85-755389FCFBB1}">
  <dimension ref="A1:R254"/>
  <sheetViews>
    <sheetView zoomScale="98" zoomScaleNormal="98" workbookViewId="0">
      <selection sqref="A1:K1"/>
    </sheetView>
  </sheetViews>
  <sheetFormatPr defaultRowHeight="14.5" x14ac:dyDescent="0.35"/>
  <cols>
    <col min="1" max="5" width="5.7265625" customWidth="1"/>
    <col min="6" max="6" width="32" customWidth="1"/>
    <col min="7" max="7" width="10.54296875" customWidth="1"/>
    <col min="8" max="8" width="8.54296875" customWidth="1"/>
    <col min="9" max="9" width="8.7265625" customWidth="1"/>
    <col min="10" max="11" width="10.54296875" customWidth="1"/>
  </cols>
  <sheetData>
    <row r="1" spans="1:18" ht="15" thickBot="1" x14ac:dyDescent="0.4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6"/>
      <c r="R1" s="8"/>
    </row>
    <row r="2" spans="1:18" x14ac:dyDescent="0.35">
      <c r="A2" s="117" t="s">
        <v>0</v>
      </c>
      <c r="B2" s="119" t="s">
        <v>1</v>
      </c>
      <c r="C2" s="119"/>
      <c r="D2" s="119"/>
      <c r="E2" s="119"/>
      <c r="F2" s="94" t="s">
        <v>2</v>
      </c>
      <c r="G2" s="120" t="s">
        <v>3</v>
      </c>
      <c r="H2" s="94" t="s">
        <v>4</v>
      </c>
      <c r="I2" s="94" t="s">
        <v>5</v>
      </c>
      <c r="J2" s="94" t="s">
        <v>6</v>
      </c>
      <c r="K2" s="96" t="s">
        <v>7</v>
      </c>
    </row>
    <row r="3" spans="1:18" x14ac:dyDescent="0.35">
      <c r="A3" s="118"/>
      <c r="B3" s="27">
        <v>1</v>
      </c>
      <c r="C3" s="27">
        <v>2</v>
      </c>
      <c r="D3" s="27">
        <v>3</v>
      </c>
      <c r="E3" s="27">
        <v>4</v>
      </c>
      <c r="F3" s="95"/>
      <c r="G3" s="121"/>
      <c r="H3" s="95"/>
      <c r="I3" s="95"/>
      <c r="J3" s="95"/>
      <c r="K3" s="97"/>
    </row>
    <row r="4" spans="1:18" s="1" customFormat="1" ht="20.149999999999999" customHeight="1" thickBot="1" x14ac:dyDescent="0.6">
      <c r="A4" s="127" t="s">
        <v>8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8" x14ac:dyDescent="0.35">
      <c r="A5" s="28">
        <v>68.900000000000006</v>
      </c>
      <c r="B5" s="60"/>
      <c r="C5" s="52"/>
      <c r="D5" s="52"/>
      <c r="E5" s="53"/>
      <c r="F5" s="79" t="s">
        <v>143</v>
      </c>
      <c r="G5" s="35">
        <v>47.35</v>
      </c>
      <c r="H5" s="36">
        <v>35.99</v>
      </c>
      <c r="I5" s="28">
        <f>33</f>
        <v>33</v>
      </c>
      <c r="J5" s="37">
        <f>(I5/G5)*H5</f>
        <v>25.082787750791976</v>
      </c>
      <c r="K5" s="38">
        <f>((SUM(A5:E5)/G5)-(I5/G5))*39</f>
        <v>29.569165786694825</v>
      </c>
    </row>
    <row r="6" spans="1:18" x14ac:dyDescent="0.35">
      <c r="A6" s="17">
        <v>47.35</v>
      </c>
      <c r="B6" s="61"/>
      <c r="C6" s="15"/>
      <c r="D6" s="15"/>
      <c r="E6" s="54"/>
      <c r="F6" s="51" t="s">
        <v>152</v>
      </c>
      <c r="G6" s="35">
        <v>63.4</v>
      </c>
      <c r="H6" s="36">
        <v>46.99</v>
      </c>
      <c r="I6" s="17"/>
      <c r="J6" s="37">
        <f t="shared" ref="J6:J55" si="0">(I6/G6)*H6</f>
        <v>0</v>
      </c>
      <c r="K6" s="38">
        <f>((SUM(A6:E6)/G6)-(I6/G6))*26</f>
        <v>19.417981072555207</v>
      </c>
    </row>
    <row r="7" spans="1:18" x14ac:dyDescent="0.35">
      <c r="A7" s="17">
        <v>42.6</v>
      </c>
      <c r="B7" s="61"/>
      <c r="C7" s="15"/>
      <c r="D7" s="15"/>
      <c r="E7" s="54"/>
      <c r="F7" s="50" t="s">
        <v>144</v>
      </c>
      <c r="G7" s="35">
        <v>43.65</v>
      </c>
      <c r="H7" s="36">
        <v>33.99</v>
      </c>
      <c r="I7" s="17">
        <v>43.65</v>
      </c>
      <c r="J7" s="37">
        <f t="shared" si="0"/>
        <v>33.99</v>
      </c>
      <c r="K7" s="38">
        <f t="shared" ref="K7:K13" si="1">((SUM(A7:E7)/G7)-(I7/G7))*39</f>
        <v>-0.93814432989690388</v>
      </c>
    </row>
    <row r="8" spans="1:18" x14ac:dyDescent="0.35">
      <c r="A8" s="17"/>
      <c r="B8" s="61"/>
      <c r="C8" s="15"/>
      <c r="D8" s="15"/>
      <c r="E8" s="54"/>
      <c r="F8" s="51"/>
      <c r="G8" s="35"/>
      <c r="H8" s="36"/>
      <c r="I8" s="17"/>
      <c r="J8" s="37" t="e">
        <f t="shared" si="0"/>
        <v>#DIV/0!</v>
      </c>
      <c r="K8" s="38" t="e">
        <f t="shared" si="1"/>
        <v>#DIV/0!</v>
      </c>
    </row>
    <row r="9" spans="1:18" x14ac:dyDescent="0.35">
      <c r="A9" s="135" t="s">
        <v>73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8" x14ac:dyDescent="0.35">
      <c r="A10" s="17">
        <v>19.100000000000001</v>
      </c>
      <c r="B10" s="61"/>
      <c r="C10" s="15"/>
      <c r="D10" s="15"/>
      <c r="E10" s="54"/>
      <c r="F10" s="51" t="s">
        <v>145</v>
      </c>
      <c r="G10" s="35">
        <v>39.200000000000003</v>
      </c>
      <c r="H10" s="36">
        <v>44.99</v>
      </c>
      <c r="I10" s="17">
        <f>19.1</f>
        <v>19.100000000000001</v>
      </c>
      <c r="J10" s="37">
        <f t="shared" si="0"/>
        <v>21.921147959183674</v>
      </c>
      <c r="K10" s="38">
        <f t="shared" si="1"/>
        <v>0</v>
      </c>
    </row>
    <row r="11" spans="1:18" x14ac:dyDescent="0.35">
      <c r="A11" s="17">
        <v>33.35</v>
      </c>
      <c r="B11" s="61"/>
      <c r="C11" s="15"/>
      <c r="D11" s="15"/>
      <c r="E11" s="54"/>
      <c r="F11" s="51" t="s">
        <v>146</v>
      </c>
      <c r="G11" s="35">
        <v>38.200000000000003</v>
      </c>
      <c r="H11" s="36">
        <v>26.99</v>
      </c>
      <c r="I11" s="17">
        <f>33.25</f>
        <v>33.25</v>
      </c>
      <c r="J11" s="37">
        <f t="shared" si="0"/>
        <v>23.492604712041881</v>
      </c>
      <c r="K11" s="38">
        <f t="shared" si="1"/>
        <v>0.10209424083769536</v>
      </c>
    </row>
    <row r="12" spans="1:18" x14ac:dyDescent="0.35">
      <c r="A12" s="17">
        <v>28.6</v>
      </c>
      <c r="B12" s="61"/>
      <c r="C12" s="15"/>
      <c r="D12" s="15"/>
      <c r="E12" s="54"/>
      <c r="F12" s="51" t="s">
        <v>147</v>
      </c>
      <c r="G12" s="35">
        <v>44.15</v>
      </c>
      <c r="H12" s="36">
        <v>56.99</v>
      </c>
      <c r="I12" s="17">
        <f>26.7</f>
        <v>26.7</v>
      </c>
      <c r="J12" s="37">
        <f t="shared" si="0"/>
        <v>34.465073612684037</v>
      </c>
      <c r="K12" s="38">
        <f t="shared" si="1"/>
        <v>1.6783691959229894</v>
      </c>
    </row>
    <row r="13" spans="1:18" x14ac:dyDescent="0.35">
      <c r="A13" s="17">
        <v>29.35</v>
      </c>
      <c r="B13" s="61"/>
      <c r="C13" s="15"/>
      <c r="D13" s="15"/>
      <c r="E13" s="54"/>
      <c r="F13" s="51" t="s">
        <v>148</v>
      </c>
      <c r="G13" s="35">
        <v>47.95</v>
      </c>
      <c r="H13" s="36">
        <v>99.99</v>
      </c>
      <c r="I13" s="17">
        <f>29.3</f>
        <v>29.3</v>
      </c>
      <c r="J13" s="37">
        <f t="shared" si="0"/>
        <v>61.099207507820644</v>
      </c>
      <c r="K13" s="38">
        <f t="shared" si="1"/>
        <v>4.0667361835244997E-2</v>
      </c>
    </row>
    <row r="14" spans="1:18" x14ac:dyDescent="0.35">
      <c r="A14" s="135" t="s">
        <v>74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7"/>
    </row>
    <row r="15" spans="1:18" x14ac:dyDescent="0.35">
      <c r="A15" s="17">
        <v>44.15</v>
      </c>
      <c r="B15" s="61"/>
      <c r="C15" s="15"/>
      <c r="D15" s="15"/>
      <c r="E15" s="54"/>
      <c r="F15" s="51" t="s">
        <v>153</v>
      </c>
      <c r="G15" s="35"/>
      <c r="H15" s="36">
        <v>41.99</v>
      </c>
      <c r="I15" s="17"/>
      <c r="J15" s="37" t="e">
        <f t="shared" si="0"/>
        <v>#DIV/0!</v>
      </c>
      <c r="K15" s="38" t="e">
        <f>((SUM(A15:E15)/G15)-(I15/G15))*39</f>
        <v>#DIV/0!</v>
      </c>
    </row>
    <row r="16" spans="1:18" x14ac:dyDescent="0.35">
      <c r="A16" s="17">
        <v>73.3</v>
      </c>
      <c r="B16" s="61"/>
      <c r="C16" s="15"/>
      <c r="D16" s="15"/>
      <c r="E16" s="54"/>
      <c r="F16" s="51" t="s">
        <v>75</v>
      </c>
      <c r="G16" s="35">
        <v>47.25</v>
      </c>
      <c r="H16" s="36">
        <v>30.99</v>
      </c>
      <c r="I16" s="17">
        <f>47.6</f>
        <v>47.6</v>
      </c>
      <c r="J16" s="37">
        <f t="shared" si="0"/>
        <v>31.219555555555559</v>
      </c>
      <c r="K16" s="38">
        <f>((SUM(A16:E16)/G16)-(I16/G16))*39</f>
        <v>21.212698412698405</v>
      </c>
    </row>
    <row r="17" spans="1:11" x14ac:dyDescent="0.35">
      <c r="A17" s="17">
        <v>61.85</v>
      </c>
      <c r="B17" s="61"/>
      <c r="C17" s="15"/>
      <c r="D17" s="15"/>
      <c r="E17" s="54"/>
      <c r="F17" s="51" t="s">
        <v>213</v>
      </c>
      <c r="G17" s="35">
        <v>42.75</v>
      </c>
      <c r="H17" s="36">
        <v>27.99</v>
      </c>
      <c r="I17" s="17">
        <f>40.2</f>
        <v>40.200000000000003</v>
      </c>
      <c r="J17" s="37">
        <f t="shared" si="0"/>
        <v>26.320421052631577</v>
      </c>
      <c r="K17" s="38">
        <f>((SUM(A17:E17)/G17)-(I17/G17))*26</f>
        <v>13.167251461988307</v>
      </c>
    </row>
    <row r="18" spans="1:11" x14ac:dyDescent="0.35">
      <c r="A18" s="17">
        <v>56.1</v>
      </c>
      <c r="B18" s="61"/>
      <c r="C18" s="15"/>
      <c r="D18" s="15"/>
      <c r="E18" s="54"/>
      <c r="F18" s="51" t="s">
        <v>214</v>
      </c>
      <c r="G18" s="35">
        <v>45</v>
      </c>
      <c r="H18" s="36">
        <v>26.99</v>
      </c>
      <c r="I18" s="17">
        <f>44.5</f>
        <v>44.5</v>
      </c>
      <c r="J18" s="37">
        <f t="shared" si="0"/>
        <v>26.690111111111111</v>
      </c>
      <c r="K18" s="38">
        <f>((SUM(A18:E18)/G18)-(I18/G18))*26</f>
        <v>6.7022222222222192</v>
      </c>
    </row>
    <row r="19" spans="1:11" x14ac:dyDescent="0.35">
      <c r="A19" s="17">
        <v>35.049999999999997</v>
      </c>
      <c r="B19" s="61"/>
      <c r="C19" s="15"/>
      <c r="D19" s="15"/>
      <c r="E19" s="54"/>
      <c r="F19" s="51" t="s">
        <v>77</v>
      </c>
      <c r="G19" s="35">
        <v>51.1</v>
      </c>
      <c r="H19" s="36">
        <v>36.99</v>
      </c>
      <c r="I19" s="17">
        <f>34.1</f>
        <v>34.1</v>
      </c>
      <c r="J19" s="37">
        <f t="shared" si="0"/>
        <v>24.684129158512722</v>
      </c>
      <c r="K19" s="38">
        <f t="shared" ref="K19:K26" si="2">((SUM(A19:E19)/G19)-(I19/G19))*39</f>
        <v>0.72504892367905738</v>
      </c>
    </row>
    <row r="20" spans="1:11" x14ac:dyDescent="0.35">
      <c r="A20" s="17">
        <v>102.80000000000001</v>
      </c>
      <c r="B20" s="61"/>
      <c r="C20" s="15"/>
      <c r="D20" s="15"/>
      <c r="E20" s="54"/>
      <c r="F20" s="51" t="s">
        <v>155</v>
      </c>
      <c r="G20" s="35">
        <v>59.25</v>
      </c>
      <c r="H20" s="36">
        <v>22.99</v>
      </c>
      <c r="I20" s="17">
        <f>25.45+59.25+59.25</f>
        <v>143.94999999999999</v>
      </c>
      <c r="J20" s="37">
        <f t="shared" si="0"/>
        <v>55.855029535864972</v>
      </c>
      <c r="K20" s="38">
        <f t="shared" si="2"/>
        <v>-27.086075949367071</v>
      </c>
    </row>
    <row r="21" spans="1:11" x14ac:dyDescent="0.35">
      <c r="A21" s="17">
        <v>41.45</v>
      </c>
      <c r="B21" s="61"/>
      <c r="C21" s="15"/>
      <c r="D21" s="15"/>
      <c r="E21" s="54"/>
      <c r="F21" s="51" t="s">
        <v>215</v>
      </c>
      <c r="G21" s="35">
        <v>53.05</v>
      </c>
      <c r="H21" s="36">
        <v>36.99</v>
      </c>
      <c r="I21" s="17">
        <f>41.5</f>
        <v>41.5</v>
      </c>
      <c r="J21" s="37">
        <f t="shared" si="0"/>
        <v>28.936569274269562</v>
      </c>
      <c r="K21" s="38">
        <f t="shared" si="2"/>
        <v>-3.6757775683314842E-2</v>
      </c>
    </row>
    <row r="22" spans="1:11" x14ac:dyDescent="0.35">
      <c r="A22" s="138" t="s">
        <v>78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</row>
    <row r="23" spans="1:11" x14ac:dyDescent="0.35">
      <c r="A23" s="17">
        <v>86.2</v>
      </c>
      <c r="B23" s="61"/>
      <c r="C23" s="15"/>
      <c r="D23" s="15"/>
      <c r="E23" s="54"/>
      <c r="F23" s="51" t="s">
        <v>79</v>
      </c>
      <c r="G23" s="35">
        <v>45.95</v>
      </c>
      <c r="H23" s="36">
        <v>39.99</v>
      </c>
      <c r="I23" s="17">
        <f>32.75+45.75</f>
        <v>78.5</v>
      </c>
      <c r="J23" s="37">
        <f t="shared" si="0"/>
        <v>68.318063112078349</v>
      </c>
      <c r="K23" s="38">
        <f t="shared" si="2"/>
        <v>6.5353645266594178</v>
      </c>
    </row>
    <row r="24" spans="1:11" x14ac:dyDescent="0.35">
      <c r="A24" s="17">
        <v>29.95</v>
      </c>
      <c r="B24" s="61"/>
      <c r="C24" s="15"/>
      <c r="D24" s="15"/>
      <c r="E24" s="54"/>
      <c r="F24" s="51" t="s">
        <v>80</v>
      </c>
      <c r="G24" s="35">
        <v>46.1</v>
      </c>
      <c r="H24" s="36">
        <v>49.99</v>
      </c>
      <c r="I24" s="17">
        <v>23.75</v>
      </c>
      <c r="J24" s="37">
        <f t="shared" si="0"/>
        <v>25.754067245119305</v>
      </c>
      <c r="K24" s="38">
        <f t="shared" si="2"/>
        <v>5.2451193058568348</v>
      </c>
    </row>
    <row r="25" spans="1:11" x14ac:dyDescent="0.35">
      <c r="A25" s="138" t="s">
        <v>81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1" x14ac:dyDescent="0.35">
      <c r="A26" s="17">
        <v>65.599999999999994</v>
      </c>
      <c r="B26" s="61"/>
      <c r="C26" s="15"/>
      <c r="D26" s="15"/>
      <c r="E26" s="54"/>
      <c r="F26" s="51" t="s">
        <v>149</v>
      </c>
      <c r="G26" s="35">
        <v>43.6</v>
      </c>
      <c r="H26" s="36">
        <v>23.99</v>
      </c>
      <c r="I26" s="17">
        <f>24.5</f>
        <v>24.5</v>
      </c>
      <c r="J26" s="37">
        <f t="shared" si="0"/>
        <v>13.480619266055045</v>
      </c>
      <c r="K26" s="38">
        <f t="shared" si="2"/>
        <v>36.7637614678899</v>
      </c>
    </row>
    <row r="27" spans="1:11" x14ac:dyDescent="0.35">
      <c r="A27" s="17">
        <v>138.14999999999998</v>
      </c>
      <c r="B27" s="61"/>
      <c r="C27" s="15"/>
      <c r="D27" s="15"/>
      <c r="E27" s="54"/>
      <c r="F27" s="51" t="s">
        <v>82</v>
      </c>
      <c r="G27" s="35">
        <v>66.55</v>
      </c>
      <c r="H27" s="36">
        <v>29.99</v>
      </c>
      <c r="I27" s="17">
        <f>44.3+66.25</f>
        <v>110.55</v>
      </c>
      <c r="J27" s="37">
        <f t="shared" si="0"/>
        <v>49.818099173553719</v>
      </c>
      <c r="K27" s="38">
        <f>((SUM(A27:E27)/G27)-(I27/G27))*26</f>
        <v>10.78287002253944</v>
      </c>
    </row>
    <row r="28" spans="1:11" x14ac:dyDescent="0.35">
      <c r="A28" s="17">
        <v>28.65</v>
      </c>
      <c r="B28" s="61"/>
      <c r="C28" s="15"/>
      <c r="D28" s="15"/>
      <c r="E28" s="54"/>
      <c r="F28" s="51" t="s">
        <v>83</v>
      </c>
      <c r="G28" s="35"/>
      <c r="H28" s="36">
        <v>26.99</v>
      </c>
      <c r="I28" s="17">
        <f>28.6</f>
        <v>28.6</v>
      </c>
      <c r="J28" s="37" t="e">
        <f t="shared" si="0"/>
        <v>#DIV/0!</v>
      </c>
      <c r="K28" s="38" t="e">
        <f>((SUM(A28:E28)/G28)-(I28/G28))*26</f>
        <v>#DIV/0!</v>
      </c>
    </row>
    <row r="29" spans="1:11" x14ac:dyDescent="0.35">
      <c r="A29" s="17">
        <v>41.25</v>
      </c>
      <c r="B29" s="61"/>
      <c r="C29" s="15"/>
      <c r="D29" s="15"/>
      <c r="E29" s="54"/>
      <c r="F29" s="51" t="s">
        <v>84</v>
      </c>
      <c r="G29" s="35">
        <v>45.1</v>
      </c>
      <c r="H29" s="36">
        <v>49.99</v>
      </c>
      <c r="I29" s="17">
        <f>40.4</f>
        <v>40.4</v>
      </c>
      <c r="J29" s="37">
        <f t="shared" si="0"/>
        <v>44.780399113082041</v>
      </c>
      <c r="K29" s="38">
        <f>((SUM(A29:E29)/G29)-(I29/G29))*26</f>
        <v>0.49002217294900108</v>
      </c>
    </row>
    <row r="30" spans="1:11" x14ac:dyDescent="0.35">
      <c r="A30" s="17">
        <v>25.8</v>
      </c>
      <c r="B30" s="61"/>
      <c r="C30" s="15"/>
      <c r="D30" s="15"/>
      <c r="E30" s="54"/>
      <c r="F30" s="51" t="s">
        <v>85</v>
      </c>
      <c r="G30" s="35">
        <v>45.45</v>
      </c>
      <c r="H30" s="36">
        <v>28.99</v>
      </c>
      <c r="I30" s="17">
        <f>25.9</f>
        <v>25.9</v>
      </c>
      <c r="J30" s="37">
        <f t="shared" si="0"/>
        <v>16.520154015401538</v>
      </c>
      <c r="K30" s="38">
        <f>((SUM(A30:E30)/G30)-(I30/G30))*39</f>
        <v>-8.580858085808396E-2</v>
      </c>
    </row>
    <row r="31" spans="1:11" x14ac:dyDescent="0.35">
      <c r="A31" s="138" t="s">
        <v>86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40"/>
    </row>
    <row r="32" spans="1:11" x14ac:dyDescent="0.35">
      <c r="A32" s="17"/>
      <c r="B32" s="55"/>
      <c r="C32" s="16"/>
      <c r="D32" s="16"/>
      <c r="E32" s="56"/>
      <c r="F32" s="51" t="s">
        <v>87</v>
      </c>
      <c r="G32" s="35">
        <v>44.1</v>
      </c>
      <c r="H32" s="36">
        <v>25.99</v>
      </c>
      <c r="I32" s="17"/>
      <c r="J32" s="37">
        <f t="shared" si="0"/>
        <v>0</v>
      </c>
      <c r="K32" s="38">
        <f>((SUM(A32:E32)/G32)-(I32/G32))*26</f>
        <v>0</v>
      </c>
    </row>
    <row r="33" spans="1:11" x14ac:dyDescent="0.35">
      <c r="A33" s="17">
        <v>18.350000000000001</v>
      </c>
      <c r="B33" s="55"/>
      <c r="C33" s="16"/>
      <c r="D33" s="16"/>
      <c r="E33" s="56"/>
      <c r="F33" s="51" t="s">
        <v>216</v>
      </c>
      <c r="G33" s="35">
        <v>41.65</v>
      </c>
      <c r="H33" s="36">
        <v>24.99</v>
      </c>
      <c r="I33" s="17">
        <f>18.4</f>
        <v>18.399999999999999</v>
      </c>
      <c r="J33" s="37">
        <f t="shared" si="0"/>
        <v>11.04</v>
      </c>
      <c r="K33" s="38">
        <f>((SUM(A33:E33)/G33)-(I33/G33))*26</f>
        <v>-3.121248499399687E-2</v>
      </c>
    </row>
    <row r="34" spans="1:11" x14ac:dyDescent="0.35">
      <c r="A34" s="17">
        <v>47.25</v>
      </c>
      <c r="B34" s="55"/>
      <c r="C34" s="16"/>
      <c r="D34" s="16"/>
      <c r="E34" s="56"/>
      <c r="F34" s="51" t="s">
        <v>217</v>
      </c>
      <c r="G34" s="35">
        <v>53.4</v>
      </c>
      <c r="H34" s="36">
        <v>36.99</v>
      </c>
      <c r="I34" s="17">
        <f>46.05</f>
        <v>46.05</v>
      </c>
      <c r="J34" s="37">
        <f>(I34/G34)*H34</f>
        <v>31.898679775280897</v>
      </c>
      <c r="K34" s="38">
        <f>((SUM(A34:E34)/G34)-(I34/G34))*26</f>
        <v>0.58426966292134974</v>
      </c>
    </row>
    <row r="35" spans="1:11" x14ac:dyDescent="0.35">
      <c r="A35" s="17">
        <f>19+41.9</f>
        <v>60.9</v>
      </c>
      <c r="B35" s="55"/>
      <c r="C35" s="16"/>
      <c r="D35" s="16"/>
      <c r="E35" s="56"/>
      <c r="F35" s="51" t="s">
        <v>218</v>
      </c>
      <c r="G35" s="35">
        <v>60.25</v>
      </c>
      <c r="H35" s="36">
        <v>57.99</v>
      </c>
      <c r="I35" s="17">
        <f>60.2</f>
        <v>60.2</v>
      </c>
      <c r="J35" s="37">
        <f t="shared" si="0"/>
        <v>57.941875518672198</v>
      </c>
      <c r="K35" s="38">
        <f>((SUM(A35:E35)/G35)-(I35/G35))*26</f>
        <v>0.30207468879667942</v>
      </c>
    </row>
    <row r="36" spans="1:11" x14ac:dyDescent="0.35">
      <c r="A36" s="17">
        <v>28.55</v>
      </c>
      <c r="B36" s="55"/>
      <c r="C36" s="16"/>
      <c r="D36" s="16"/>
      <c r="E36" s="56"/>
      <c r="F36" s="51" t="s">
        <v>219</v>
      </c>
      <c r="G36" s="35">
        <v>59.75</v>
      </c>
      <c r="H36" s="36">
        <v>36.99</v>
      </c>
      <c r="I36" s="17">
        <f>59.9</f>
        <v>59.9</v>
      </c>
      <c r="J36" s="37">
        <f t="shared" si="0"/>
        <v>37.082861924686192</v>
      </c>
      <c r="K36" s="38">
        <f>((SUM(A36:E36)/G36)-(I36/G36))*13</f>
        <v>-6.8209205020920489</v>
      </c>
    </row>
    <row r="37" spans="1:11" x14ac:dyDescent="0.35">
      <c r="A37" s="17">
        <v>37.5</v>
      </c>
      <c r="B37" s="76"/>
      <c r="C37" s="77"/>
      <c r="D37" s="77"/>
      <c r="E37" s="78"/>
      <c r="F37" s="51" t="s">
        <v>220</v>
      </c>
      <c r="G37" s="35">
        <v>41.05</v>
      </c>
      <c r="H37" s="36">
        <v>22.99</v>
      </c>
      <c r="I37" s="17">
        <f>37.5</f>
        <v>37.5</v>
      </c>
      <c r="J37" s="37">
        <f t="shared" si="0"/>
        <v>21.001827040194886</v>
      </c>
      <c r="K37" s="38">
        <f>((SUM(A37:E37)/G37)-(I37/G37))*39</f>
        <v>0</v>
      </c>
    </row>
    <row r="38" spans="1:11" x14ac:dyDescent="0.35">
      <c r="A38" s="141" t="s">
        <v>90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3"/>
    </row>
    <row r="39" spans="1:11" x14ac:dyDescent="0.35">
      <c r="A39" s="17">
        <v>121.45</v>
      </c>
      <c r="B39" s="55"/>
      <c r="C39" s="16"/>
      <c r="D39" s="16"/>
      <c r="E39" s="56"/>
      <c r="F39" s="50" t="s">
        <v>92</v>
      </c>
      <c r="G39" s="35">
        <v>61.95</v>
      </c>
      <c r="H39" s="36">
        <v>34.99</v>
      </c>
      <c r="I39" s="17">
        <f>33.7+61.95</f>
        <v>95.65</v>
      </c>
      <c r="J39" s="37">
        <f t="shared" si="0"/>
        <v>54.024108151735277</v>
      </c>
      <c r="K39" s="38">
        <f t="shared" ref="K39:K55" si="3">((SUM(A39:E39)/G39)-(I39/G39))*39</f>
        <v>16.242130750605323</v>
      </c>
    </row>
    <row r="40" spans="1:11" x14ac:dyDescent="0.35">
      <c r="A40" s="17">
        <v>28.7</v>
      </c>
      <c r="B40" s="55"/>
      <c r="C40" s="16"/>
      <c r="D40" s="16"/>
      <c r="E40" s="56"/>
      <c r="F40" s="50" t="s">
        <v>163</v>
      </c>
      <c r="G40" s="35"/>
      <c r="H40" s="36"/>
      <c r="I40" s="17"/>
      <c r="J40" s="37" t="e">
        <f t="shared" si="0"/>
        <v>#DIV/0!</v>
      </c>
      <c r="K40" s="38" t="e">
        <f t="shared" ref="K40:K41" si="4">((SUM(A40:E40)/G40)-(I40/G40))*39</f>
        <v>#DIV/0!</v>
      </c>
    </row>
    <row r="41" spans="1:11" x14ac:dyDescent="0.35">
      <c r="A41" s="17"/>
      <c r="B41" s="55"/>
      <c r="C41" s="16"/>
      <c r="D41" s="16"/>
      <c r="E41" s="56"/>
      <c r="F41" s="50" t="s">
        <v>160</v>
      </c>
      <c r="G41" s="35">
        <v>43.45</v>
      </c>
      <c r="H41" s="36">
        <v>34.99</v>
      </c>
      <c r="I41" s="17">
        <v>24.15</v>
      </c>
      <c r="J41" s="37">
        <f t="shared" si="0"/>
        <v>19.447836593785958</v>
      </c>
      <c r="K41" s="38">
        <f t="shared" si="4"/>
        <v>-21.676639815880318</v>
      </c>
    </row>
    <row r="42" spans="1:11" x14ac:dyDescent="0.35">
      <c r="A42" s="17">
        <v>140.14999999999998</v>
      </c>
      <c r="B42" s="55"/>
      <c r="C42" s="16"/>
      <c r="D42" s="16"/>
      <c r="E42" s="56"/>
      <c r="F42" s="50" t="s">
        <v>91</v>
      </c>
      <c r="G42" s="35">
        <v>50.85</v>
      </c>
      <c r="H42" s="36">
        <v>59.99</v>
      </c>
      <c r="I42" s="17">
        <f>27.65+57.75+50.6</f>
        <v>136</v>
      </c>
      <c r="J42" s="37">
        <f t="shared" si="0"/>
        <v>160.44523107177974</v>
      </c>
      <c r="K42" s="38">
        <f t="shared" si="3"/>
        <v>3.1828908554572042</v>
      </c>
    </row>
    <row r="43" spans="1:11" x14ac:dyDescent="0.35">
      <c r="A43" s="17"/>
      <c r="B43" s="55">
        <v>1</v>
      </c>
      <c r="C43" s="16"/>
      <c r="D43" s="16"/>
      <c r="E43" s="56"/>
      <c r="F43" s="50" t="s">
        <v>151</v>
      </c>
      <c r="G43" s="35">
        <v>47.3</v>
      </c>
      <c r="H43" s="36">
        <v>29.99</v>
      </c>
      <c r="I43" s="17"/>
      <c r="J43" s="37">
        <f t="shared" si="0"/>
        <v>0</v>
      </c>
      <c r="K43" s="38">
        <f t="shared" si="3"/>
        <v>0.82452431289640593</v>
      </c>
    </row>
    <row r="44" spans="1:11" x14ac:dyDescent="0.35">
      <c r="A44" s="138" t="s">
        <v>93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40"/>
    </row>
    <row r="45" spans="1:11" x14ac:dyDescent="0.35">
      <c r="A45" s="17">
        <v>30.6</v>
      </c>
      <c r="B45" s="55"/>
      <c r="C45" s="16"/>
      <c r="D45" s="16"/>
      <c r="E45" s="56"/>
      <c r="F45" s="50" t="s">
        <v>94</v>
      </c>
      <c r="G45" s="35">
        <v>43.8</v>
      </c>
      <c r="H45" s="36">
        <v>26.99</v>
      </c>
      <c r="I45" s="17">
        <v>30.6</v>
      </c>
      <c r="J45" s="37">
        <f t="shared" si="0"/>
        <v>18.856027397260277</v>
      </c>
      <c r="K45" s="38">
        <f t="shared" si="3"/>
        <v>0</v>
      </c>
    </row>
    <row r="46" spans="1:11" x14ac:dyDescent="0.35">
      <c r="A46" s="17">
        <v>20.05</v>
      </c>
      <c r="B46" s="55"/>
      <c r="C46" s="16"/>
      <c r="D46" s="16"/>
      <c r="E46" s="56"/>
      <c r="F46" s="50" t="s">
        <v>95</v>
      </c>
      <c r="G46" s="35">
        <v>43.8</v>
      </c>
      <c r="H46" s="36">
        <v>28.99</v>
      </c>
      <c r="I46" s="17"/>
      <c r="J46" s="37">
        <f t="shared" si="0"/>
        <v>0</v>
      </c>
      <c r="K46" s="38">
        <f t="shared" si="3"/>
        <v>17.852739726027401</v>
      </c>
    </row>
    <row r="47" spans="1:11" x14ac:dyDescent="0.35">
      <c r="A47" s="17"/>
      <c r="B47" s="55"/>
      <c r="C47" s="16"/>
      <c r="D47" s="16"/>
      <c r="E47" s="56"/>
      <c r="F47" s="50" t="s">
        <v>69</v>
      </c>
      <c r="G47" s="35">
        <v>50.4</v>
      </c>
      <c r="H47" s="36">
        <v>44.99</v>
      </c>
      <c r="I47" s="17"/>
      <c r="J47" s="37">
        <f t="shared" si="0"/>
        <v>0</v>
      </c>
      <c r="K47" s="38">
        <f t="shared" si="3"/>
        <v>0</v>
      </c>
    </row>
    <row r="48" spans="1:11" x14ac:dyDescent="0.35">
      <c r="A48" s="17">
        <v>149.75</v>
      </c>
      <c r="B48" s="55">
        <v>61.3</v>
      </c>
      <c r="C48" s="16"/>
      <c r="D48" s="16"/>
      <c r="E48" s="56"/>
      <c r="F48" s="50" t="s">
        <v>96</v>
      </c>
      <c r="G48" s="35">
        <v>61.3</v>
      </c>
      <c r="H48" s="36">
        <v>33.99</v>
      </c>
      <c r="I48" s="17">
        <f>25.4+60.95+60.95</f>
        <v>147.30000000000001</v>
      </c>
      <c r="J48" s="37">
        <f t="shared" si="0"/>
        <v>81.675807504078307</v>
      </c>
      <c r="K48" s="38">
        <f t="shared" si="3"/>
        <v>40.558727569331168</v>
      </c>
    </row>
    <row r="49" spans="1:11" x14ac:dyDescent="0.35">
      <c r="A49" s="17">
        <v>41.7</v>
      </c>
      <c r="B49" s="55"/>
      <c r="C49" s="16"/>
      <c r="D49" s="16"/>
      <c r="E49" s="56"/>
      <c r="F49" s="50" t="s">
        <v>97</v>
      </c>
      <c r="G49" s="35">
        <v>50.25</v>
      </c>
      <c r="H49" s="36">
        <v>27.99</v>
      </c>
      <c r="I49" s="17">
        <v>41.7</v>
      </c>
      <c r="J49" s="37">
        <f t="shared" si="0"/>
        <v>23.2275223880597</v>
      </c>
      <c r="K49" s="38">
        <f t="shared" si="3"/>
        <v>0</v>
      </c>
    </row>
    <row r="50" spans="1:11" x14ac:dyDescent="0.35">
      <c r="A50" s="17">
        <v>79.25</v>
      </c>
      <c r="B50" s="55"/>
      <c r="C50" s="16"/>
      <c r="D50" s="16"/>
      <c r="E50" s="56"/>
      <c r="F50" s="50" t="s">
        <v>98</v>
      </c>
      <c r="G50" s="35">
        <v>42.45</v>
      </c>
      <c r="H50" s="36">
        <v>27.99</v>
      </c>
      <c r="I50" s="17">
        <f>27.75+42.45</f>
        <v>70.2</v>
      </c>
      <c r="J50" s="37">
        <f t="shared" si="0"/>
        <v>46.287349823321549</v>
      </c>
      <c r="K50" s="38">
        <f t="shared" si="3"/>
        <v>8.3144876325088326</v>
      </c>
    </row>
    <row r="51" spans="1:11" x14ac:dyDescent="0.35">
      <c r="A51" s="17">
        <v>106.2</v>
      </c>
      <c r="B51" s="55"/>
      <c r="C51" s="16"/>
      <c r="D51" s="16"/>
      <c r="E51" s="56"/>
      <c r="F51" s="50" t="s">
        <v>158</v>
      </c>
      <c r="G51" s="35">
        <v>42.45</v>
      </c>
      <c r="H51" s="36">
        <v>27.99</v>
      </c>
      <c r="I51" s="17">
        <f>18.6+42.55</f>
        <v>61.15</v>
      </c>
      <c r="J51" s="37">
        <f t="shared" si="0"/>
        <v>40.320106007067132</v>
      </c>
      <c r="K51" s="38">
        <f t="shared" si="3"/>
        <v>41.38869257950531</v>
      </c>
    </row>
    <row r="52" spans="1:11" x14ac:dyDescent="0.35">
      <c r="A52" s="17"/>
      <c r="B52" s="55"/>
      <c r="C52" s="16"/>
      <c r="D52" s="16"/>
      <c r="E52" s="56"/>
      <c r="F52" s="50" t="s">
        <v>159</v>
      </c>
      <c r="G52" s="35"/>
      <c r="H52" s="36">
        <v>31.99</v>
      </c>
      <c r="I52" s="17"/>
      <c r="J52" s="37" t="e">
        <f t="shared" si="0"/>
        <v>#DIV/0!</v>
      </c>
      <c r="K52" s="38" t="e">
        <f t="shared" si="3"/>
        <v>#DIV/0!</v>
      </c>
    </row>
    <row r="53" spans="1:11" x14ac:dyDescent="0.35">
      <c r="A53" s="17"/>
      <c r="B53" s="55"/>
      <c r="C53" s="16"/>
      <c r="D53" s="16"/>
      <c r="E53" s="56"/>
      <c r="F53" s="50" t="s">
        <v>176</v>
      </c>
      <c r="G53" s="35"/>
      <c r="H53" s="36"/>
      <c r="I53" s="17"/>
      <c r="J53" s="37" t="e">
        <f t="shared" si="0"/>
        <v>#DIV/0!</v>
      </c>
      <c r="K53" s="38" t="e">
        <f t="shared" si="3"/>
        <v>#DIV/0!</v>
      </c>
    </row>
    <row r="54" spans="1:11" x14ac:dyDescent="0.35">
      <c r="A54" s="17"/>
      <c r="B54" s="55"/>
      <c r="C54" s="16"/>
      <c r="D54" s="16"/>
      <c r="E54" s="56"/>
      <c r="F54" s="50" t="s">
        <v>180</v>
      </c>
      <c r="G54" s="35">
        <v>48.45</v>
      </c>
      <c r="H54" s="36">
        <v>34.99</v>
      </c>
      <c r="I54" s="17">
        <v>43</v>
      </c>
      <c r="J54" s="37">
        <f t="shared" si="0"/>
        <v>31.054076367389062</v>
      </c>
      <c r="K54" s="38">
        <f t="shared" si="3"/>
        <v>-34.61300309597523</v>
      </c>
    </row>
    <row r="55" spans="1:11" ht="15" thickBot="1" x14ac:dyDescent="0.4">
      <c r="A55" s="17"/>
      <c r="B55" s="57"/>
      <c r="C55" s="58"/>
      <c r="D55" s="58"/>
      <c r="E55" s="59"/>
      <c r="F55" s="50"/>
      <c r="G55" s="35"/>
      <c r="H55" s="36"/>
      <c r="I55" s="17"/>
      <c r="J55" s="37" t="e">
        <f t="shared" si="0"/>
        <v>#DIV/0!</v>
      </c>
      <c r="K55" s="38" t="e">
        <f t="shared" si="3"/>
        <v>#DIV/0!</v>
      </c>
    </row>
    <row r="56" spans="1:11" ht="20.149999999999999" customHeight="1" thickBot="1" x14ac:dyDescent="0.6">
      <c r="A56" s="130" t="s">
        <v>9</v>
      </c>
      <c r="B56" s="131"/>
      <c r="C56" s="131"/>
      <c r="D56" s="131"/>
      <c r="E56" s="131"/>
      <c r="F56" s="132"/>
      <c r="G56" s="132"/>
      <c r="H56" s="132"/>
      <c r="I56" s="133"/>
      <c r="J56" s="126">
        <v>1713.9906492157534</v>
      </c>
      <c r="K56" s="88"/>
    </row>
    <row r="57" spans="1:11" ht="20.149999999999999" customHeight="1" thickBot="1" x14ac:dyDescent="0.6">
      <c r="A57" s="130" t="s">
        <v>10</v>
      </c>
      <c r="B57" s="132"/>
      <c r="C57" s="132"/>
      <c r="D57" s="132"/>
      <c r="E57" s="132"/>
      <c r="F57" s="132"/>
      <c r="G57" s="132"/>
      <c r="H57" s="132"/>
      <c r="I57" s="134"/>
      <c r="J57" s="122">
        <v>0</v>
      </c>
      <c r="K57" s="90"/>
    </row>
    <row r="58" spans="1:11" ht="20.149999999999999" customHeight="1" thickBot="1" x14ac:dyDescent="0.6">
      <c r="A58" s="130" t="s">
        <v>55</v>
      </c>
      <c r="B58" s="132"/>
      <c r="C58" s="132"/>
      <c r="D58" s="132"/>
      <c r="E58" s="132"/>
      <c r="F58" s="132"/>
      <c r="G58" s="132"/>
      <c r="H58" s="132"/>
      <c r="I58" s="134"/>
      <c r="J58" s="89">
        <v>0</v>
      </c>
      <c r="K58" s="90"/>
    </row>
    <row r="59" spans="1:11" ht="20.149999999999999" customHeight="1" thickBot="1" x14ac:dyDescent="0.6">
      <c r="A59" s="130" t="s">
        <v>11</v>
      </c>
      <c r="B59" s="132"/>
      <c r="C59" s="132"/>
      <c r="D59" s="132"/>
      <c r="E59" s="132"/>
      <c r="F59" s="132"/>
      <c r="G59" s="132"/>
      <c r="H59" s="132"/>
      <c r="I59" s="134"/>
      <c r="J59" s="126" t="e">
        <f>SUM(J5:J55)</f>
        <v>#DIV/0!</v>
      </c>
      <c r="K59" s="88"/>
    </row>
    <row r="60" spans="1:11" ht="20.149999999999999" customHeight="1" thickBot="1" x14ac:dyDescent="0.6">
      <c r="A60" s="109" t="s">
        <v>12</v>
      </c>
      <c r="B60" s="110"/>
      <c r="C60" s="110"/>
      <c r="D60" s="110"/>
      <c r="E60" s="110"/>
      <c r="F60" s="110"/>
      <c r="G60" s="110"/>
      <c r="H60" s="110"/>
      <c r="I60" s="111"/>
      <c r="J60" s="122">
        <v>798.75</v>
      </c>
      <c r="K60" s="90"/>
    </row>
    <row r="61" spans="1:11" ht="20.149999999999999" customHeight="1" thickBot="1" x14ac:dyDescent="0.6">
      <c r="A61" s="123" t="s">
        <v>13</v>
      </c>
      <c r="B61" s="124"/>
      <c r="C61" s="124"/>
      <c r="D61" s="124"/>
      <c r="E61" s="124"/>
      <c r="F61" s="124"/>
      <c r="G61" s="124"/>
      <c r="H61" s="124"/>
      <c r="I61" s="125"/>
      <c r="J61" s="126" t="e">
        <f>J56+J57+J58-J59</f>
        <v>#DIV/0!</v>
      </c>
      <c r="K61" s="88"/>
    </row>
    <row r="62" spans="1:11" ht="20.149999999999999" customHeight="1" thickBot="1" x14ac:dyDescent="0.6">
      <c r="A62" s="109" t="s">
        <v>14</v>
      </c>
      <c r="B62" s="110"/>
      <c r="C62" s="110"/>
      <c r="D62" s="110"/>
      <c r="E62" s="110"/>
      <c r="F62" s="110"/>
      <c r="G62" s="110"/>
      <c r="H62" s="110"/>
      <c r="I62" s="111"/>
      <c r="J62" s="144" t="e">
        <f>J61/J60</f>
        <v>#DIV/0!</v>
      </c>
      <c r="K62" s="113"/>
    </row>
    <row r="63" spans="1:11" ht="20.149999999999999" customHeight="1" thickBot="1" x14ac:dyDescent="0.6">
      <c r="A63" s="109" t="s">
        <v>56</v>
      </c>
      <c r="B63" s="110"/>
      <c r="C63" s="110"/>
      <c r="D63" s="110"/>
      <c r="E63" s="110"/>
      <c r="F63" s="110"/>
      <c r="G63" s="110"/>
      <c r="H63" s="110"/>
      <c r="I63" s="111"/>
      <c r="J63" s="144" t="e">
        <f>((F223+F224+F226-J59)/F225)</f>
        <v>#DIV/0!</v>
      </c>
      <c r="K63" s="113"/>
    </row>
    <row r="64" spans="1:11" x14ac:dyDescent="0.35">
      <c r="A64" s="117" t="s">
        <v>0</v>
      </c>
      <c r="B64" s="119" t="s">
        <v>1</v>
      </c>
      <c r="C64" s="119"/>
      <c r="D64" s="119"/>
      <c r="E64" s="119"/>
      <c r="F64" s="94" t="s">
        <v>2</v>
      </c>
      <c r="G64" s="94" t="s">
        <v>3</v>
      </c>
      <c r="H64" s="94" t="s">
        <v>4</v>
      </c>
      <c r="I64" s="94" t="s">
        <v>5</v>
      </c>
      <c r="J64" s="94" t="s">
        <v>6</v>
      </c>
      <c r="K64" s="96" t="s">
        <v>7</v>
      </c>
    </row>
    <row r="65" spans="1:16" ht="20.149999999999999" customHeight="1" x14ac:dyDescent="0.35">
      <c r="A65" s="118"/>
      <c r="B65" s="27">
        <v>1</v>
      </c>
      <c r="C65" s="27">
        <v>2</v>
      </c>
      <c r="D65" s="27">
        <v>3</v>
      </c>
      <c r="E65" s="27">
        <v>4</v>
      </c>
      <c r="F65" s="95"/>
      <c r="G65" s="95"/>
      <c r="H65" s="95"/>
      <c r="I65" s="95"/>
      <c r="J65" s="95"/>
      <c r="K65" s="97"/>
    </row>
    <row r="66" spans="1:16" ht="24" thickBot="1" x14ac:dyDescent="0.6">
      <c r="A66" s="98" t="s">
        <v>122</v>
      </c>
      <c r="B66" s="99"/>
      <c r="C66" s="99"/>
      <c r="D66" s="99"/>
      <c r="E66" s="99"/>
      <c r="F66" s="99"/>
      <c r="G66" s="99"/>
      <c r="H66" s="99"/>
      <c r="I66" s="99"/>
      <c r="J66" s="100"/>
      <c r="K66" s="101"/>
    </row>
    <row r="67" spans="1:16" x14ac:dyDescent="0.35">
      <c r="A67" s="62">
        <v>17.899999999999999</v>
      </c>
      <c r="B67" s="14"/>
      <c r="C67" s="14"/>
      <c r="D67" s="14"/>
      <c r="E67" s="14"/>
      <c r="F67" s="34" t="s">
        <v>138</v>
      </c>
      <c r="G67" s="35"/>
      <c r="H67" s="36">
        <v>22.99</v>
      </c>
      <c r="I67" s="28">
        <f>12.85</f>
        <v>12.85</v>
      </c>
      <c r="J67" s="39">
        <f>I67*H67</f>
        <v>295.42149999999998</v>
      </c>
      <c r="K67" s="40">
        <f>(SUM(A67:E67))-I67</f>
        <v>5.0499999999999989</v>
      </c>
      <c r="O67" s="49"/>
      <c r="P67" s="49"/>
    </row>
    <row r="68" spans="1:16" x14ac:dyDescent="0.35">
      <c r="A68" s="62">
        <v>46.7</v>
      </c>
      <c r="B68" s="14"/>
      <c r="C68" s="14"/>
      <c r="D68" s="14"/>
      <c r="E68" s="14"/>
      <c r="F68" s="34" t="s">
        <v>221</v>
      </c>
      <c r="G68" s="35">
        <v>69.75</v>
      </c>
      <c r="H68" s="36">
        <v>39.99</v>
      </c>
      <c r="I68" s="28">
        <f>34.6</f>
        <v>34.6</v>
      </c>
      <c r="J68" s="39">
        <f>I68*H68</f>
        <v>1383.6540000000002</v>
      </c>
      <c r="K68" s="40">
        <f>(SUM(A68:E68))-I68</f>
        <v>12.100000000000001</v>
      </c>
      <c r="O68" s="49"/>
      <c r="P68" s="49"/>
    </row>
    <row r="69" spans="1:16" x14ac:dyDescent="0.35">
      <c r="A69" s="62">
        <v>41.05</v>
      </c>
      <c r="B69" s="14"/>
      <c r="C69" s="14"/>
      <c r="D69" s="14"/>
      <c r="E69" s="14"/>
      <c r="F69" s="34" t="s">
        <v>126</v>
      </c>
      <c r="G69" s="35">
        <v>49.65</v>
      </c>
      <c r="H69" s="36">
        <v>24.99</v>
      </c>
      <c r="I69" s="28">
        <f>38.25</f>
        <v>38.25</v>
      </c>
      <c r="J69" s="39">
        <f t="shared" ref="J69:J96" si="5">I69*H69</f>
        <v>955.86749999999995</v>
      </c>
      <c r="K69" s="40">
        <f t="shared" ref="K69:K96" si="6">(SUM(A69:E69))-I69</f>
        <v>2.7999999999999972</v>
      </c>
      <c r="O69" s="49"/>
      <c r="P69" s="49"/>
    </row>
    <row r="70" spans="1:16" x14ac:dyDescent="0.35">
      <c r="A70" s="62">
        <v>34.85</v>
      </c>
      <c r="B70" s="14"/>
      <c r="C70" s="14"/>
      <c r="D70" s="14"/>
      <c r="E70" s="14"/>
      <c r="F70" s="34" t="s">
        <v>124</v>
      </c>
      <c r="G70" s="35">
        <v>41.9</v>
      </c>
      <c r="H70" s="36">
        <v>20.99</v>
      </c>
      <c r="I70" s="28">
        <f>34.8+41.9</f>
        <v>76.699999999999989</v>
      </c>
      <c r="J70" s="39">
        <f t="shared" si="5"/>
        <v>1609.9329999999995</v>
      </c>
      <c r="K70" s="40">
        <f t="shared" si="6"/>
        <v>-41.849999999999987</v>
      </c>
      <c r="O70" s="49"/>
      <c r="P70" s="49"/>
    </row>
    <row r="71" spans="1:16" x14ac:dyDescent="0.35">
      <c r="A71" s="62">
        <v>31.5</v>
      </c>
      <c r="B71" s="14"/>
      <c r="C71" s="14"/>
      <c r="D71" s="14"/>
      <c r="E71" s="14"/>
      <c r="F71" s="34" t="s">
        <v>125</v>
      </c>
      <c r="G71" s="35">
        <v>41.9</v>
      </c>
      <c r="H71" s="36">
        <v>20.99</v>
      </c>
      <c r="I71" s="28">
        <f>30.85</f>
        <v>30.85</v>
      </c>
      <c r="J71" s="39">
        <f t="shared" si="5"/>
        <v>647.54149999999993</v>
      </c>
      <c r="K71" s="40">
        <f t="shared" si="6"/>
        <v>0.64999999999999858</v>
      </c>
      <c r="O71" s="49"/>
      <c r="P71" s="49"/>
    </row>
    <row r="72" spans="1:16" x14ac:dyDescent="0.35">
      <c r="A72" s="62">
        <v>58.55</v>
      </c>
      <c r="B72" s="14"/>
      <c r="C72" s="14"/>
      <c r="D72" s="14"/>
      <c r="E72" s="14"/>
      <c r="F72" s="34" t="s">
        <v>123</v>
      </c>
      <c r="G72" s="35">
        <v>41.9</v>
      </c>
      <c r="H72" s="36">
        <v>21.99</v>
      </c>
      <c r="I72" s="28">
        <f>16.45</f>
        <v>16.45</v>
      </c>
      <c r="J72" s="39">
        <f t="shared" si="5"/>
        <v>361.73549999999994</v>
      </c>
      <c r="K72" s="40">
        <f t="shared" si="6"/>
        <v>42.099999999999994</v>
      </c>
      <c r="O72" s="49"/>
      <c r="P72" s="49"/>
    </row>
    <row r="73" spans="1:16" x14ac:dyDescent="0.35">
      <c r="A73" s="62">
        <v>48.45</v>
      </c>
      <c r="B73" s="14"/>
      <c r="C73" s="14"/>
      <c r="D73" s="14"/>
      <c r="E73" s="14"/>
      <c r="F73" s="34" t="s">
        <v>129</v>
      </c>
      <c r="G73" s="35"/>
      <c r="H73" s="36">
        <v>41.99</v>
      </c>
      <c r="I73" s="28"/>
      <c r="J73" s="39">
        <f t="shared" si="5"/>
        <v>0</v>
      </c>
      <c r="K73" s="40">
        <f t="shared" si="6"/>
        <v>48.45</v>
      </c>
      <c r="O73" s="49"/>
      <c r="P73" s="49"/>
    </row>
    <row r="74" spans="1:16" x14ac:dyDescent="0.35">
      <c r="A74" s="62"/>
      <c r="B74" s="14"/>
      <c r="C74" s="14"/>
      <c r="D74" s="14"/>
      <c r="E74" s="14"/>
      <c r="F74" s="34" t="s">
        <v>127</v>
      </c>
      <c r="G74" s="35">
        <v>49.4</v>
      </c>
      <c r="H74" s="36">
        <v>20.99</v>
      </c>
      <c r="I74" s="28"/>
      <c r="J74" s="39">
        <f t="shared" si="5"/>
        <v>0</v>
      </c>
      <c r="K74" s="40">
        <f t="shared" si="6"/>
        <v>0</v>
      </c>
      <c r="O74" s="49"/>
      <c r="P74" s="49"/>
    </row>
    <row r="75" spans="1:16" x14ac:dyDescent="0.35">
      <c r="A75" s="62">
        <v>84.85</v>
      </c>
      <c r="B75" s="14"/>
      <c r="C75" s="14"/>
      <c r="D75" s="14"/>
      <c r="E75" s="14"/>
      <c r="F75" s="34" t="s">
        <v>70</v>
      </c>
      <c r="G75" s="35">
        <v>50.65</v>
      </c>
      <c r="H75" s="36">
        <v>32.99</v>
      </c>
      <c r="I75" s="28">
        <f>28.65+50.9</f>
        <v>79.55</v>
      </c>
      <c r="J75" s="39">
        <f t="shared" si="5"/>
        <v>2624.3544999999999</v>
      </c>
      <c r="K75" s="40">
        <f t="shared" si="6"/>
        <v>5.2999999999999972</v>
      </c>
      <c r="O75" s="49"/>
      <c r="P75" s="49"/>
    </row>
    <row r="76" spans="1:16" x14ac:dyDescent="0.35">
      <c r="A76" s="62">
        <v>98.95</v>
      </c>
      <c r="B76" s="14"/>
      <c r="C76" s="14"/>
      <c r="D76" s="14"/>
      <c r="E76" s="14"/>
      <c r="F76" s="34" t="s">
        <v>128</v>
      </c>
      <c r="G76" s="35">
        <v>50.45</v>
      </c>
      <c r="H76" s="36">
        <v>24.99</v>
      </c>
      <c r="I76" s="28">
        <f>44+50.4</f>
        <v>94.4</v>
      </c>
      <c r="J76" s="39">
        <f t="shared" si="5"/>
        <v>2359.056</v>
      </c>
      <c r="K76" s="40">
        <f t="shared" si="6"/>
        <v>4.5499999999999972</v>
      </c>
      <c r="O76" s="49"/>
      <c r="P76" s="49"/>
    </row>
    <row r="77" spans="1:16" x14ac:dyDescent="0.35">
      <c r="A77" s="62">
        <v>44.05</v>
      </c>
      <c r="B77" s="14"/>
      <c r="C77" s="14"/>
      <c r="D77" s="14"/>
      <c r="E77" s="14"/>
      <c r="F77" s="34" t="s">
        <v>67</v>
      </c>
      <c r="G77" s="35">
        <v>53.7</v>
      </c>
      <c r="H77" s="36">
        <v>27.99</v>
      </c>
      <c r="I77" s="28">
        <f>43.4</f>
        <v>43.4</v>
      </c>
      <c r="J77" s="39">
        <f t="shared" si="5"/>
        <v>1214.7659999999998</v>
      </c>
      <c r="K77" s="40">
        <f t="shared" si="6"/>
        <v>0.64999999999999858</v>
      </c>
      <c r="O77" s="49"/>
      <c r="P77" s="49"/>
    </row>
    <row r="78" spans="1:16" x14ac:dyDescent="0.35">
      <c r="A78" s="62">
        <v>80.45</v>
      </c>
      <c r="B78" s="14"/>
      <c r="C78" s="14"/>
      <c r="D78" s="14"/>
      <c r="E78" s="14"/>
      <c r="F78" s="34" t="s">
        <v>131</v>
      </c>
      <c r="G78" s="35">
        <v>49.5</v>
      </c>
      <c r="H78" s="36">
        <v>39.99</v>
      </c>
      <c r="I78" s="28">
        <f>30.6+49.4</f>
        <v>80</v>
      </c>
      <c r="J78" s="39">
        <f t="shared" si="5"/>
        <v>3199.2000000000003</v>
      </c>
      <c r="K78" s="40">
        <f t="shared" si="6"/>
        <v>0.45000000000000284</v>
      </c>
      <c r="O78" s="49"/>
      <c r="P78" s="49"/>
    </row>
    <row r="79" spans="1:16" x14ac:dyDescent="0.35">
      <c r="A79" s="62">
        <v>112.55</v>
      </c>
      <c r="B79" s="14"/>
      <c r="C79" s="14"/>
      <c r="D79" s="14"/>
      <c r="E79" s="14"/>
      <c r="F79" s="34" t="s">
        <v>161</v>
      </c>
      <c r="G79" s="35">
        <v>59.45</v>
      </c>
      <c r="H79" s="36">
        <v>38.99</v>
      </c>
      <c r="I79" s="28">
        <f>48.7+59.45</f>
        <v>108.15</v>
      </c>
      <c r="J79" s="39">
        <f t="shared" si="5"/>
        <v>4216.7685000000001</v>
      </c>
      <c r="K79" s="40">
        <f t="shared" si="6"/>
        <v>4.3999999999999915</v>
      </c>
      <c r="O79" s="49"/>
      <c r="P79" s="49"/>
    </row>
    <row r="80" spans="1:16" x14ac:dyDescent="0.35">
      <c r="A80" s="62">
        <v>132.75</v>
      </c>
      <c r="B80" s="14"/>
      <c r="C80" s="14"/>
      <c r="D80" s="14"/>
      <c r="E80" s="14"/>
      <c r="F80" s="34" t="s">
        <v>133</v>
      </c>
      <c r="G80" s="35">
        <v>54.55</v>
      </c>
      <c r="H80" s="36"/>
      <c r="I80" s="28">
        <f>23.4+54.55+54.35</f>
        <v>132.29999999999998</v>
      </c>
      <c r="J80" s="39">
        <f t="shared" si="5"/>
        <v>0</v>
      </c>
      <c r="K80" s="40">
        <f t="shared" si="6"/>
        <v>0.45000000000001705</v>
      </c>
      <c r="O80" s="49"/>
      <c r="P80" s="49"/>
    </row>
    <row r="81" spans="1:16" x14ac:dyDescent="0.35">
      <c r="A81" s="62">
        <v>72.599999999999994</v>
      </c>
      <c r="B81" s="14"/>
      <c r="C81" s="14"/>
      <c r="D81" s="14"/>
      <c r="E81" s="14"/>
      <c r="F81" s="34" t="s">
        <v>185</v>
      </c>
      <c r="G81" s="35">
        <v>41.4</v>
      </c>
      <c r="H81" s="36">
        <v>33.99</v>
      </c>
      <c r="I81" s="28">
        <f>23.05+41.4</f>
        <v>64.45</v>
      </c>
      <c r="J81" s="39">
        <f t="shared" si="5"/>
        <v>2190.6555000000003</v>
      </c>
      <c r="K81" s="40">
        <f t="shared" si="6"/>
        <v>8.1499999999999915</v>
      </c>
      <c r="O81" s="49"/>
      <c r="P81" s="49"/>
    </row>
    <row r="82" spans="1:16" x14ac:dyDescent="0.35">
      <c r="A82" s="62">
        <v>91.2</v>
      </c>
      <c r="B82" s="14"/>
      <c r="C82" s="14"/>
      <c r="D82" s="14"/>
      <c r="E82" s="14"/>
      <c r="F82" s="34" t="s">
        <v>186</v>
      </c>
      <c r="G82" s="35">
        <v>63.45</v>
      </c>
      <c r="H82" s="36">
        <v>36.99</v>
      </c>
      <c r="I82" s="28">
        <v>26.4</v>
      </c>
      <c r="J82" s="39">
        <f t="shared" si="5"/>
        <v>976.53599999999994</v>
      </c>
      <c r="K82" s="40">
        <f t="shared" si="6"/>
        <v>64.800000000000011</v>
      </c>
      <c r="O82" s="49"/>
      <c r="P82" s="49"/>
    </row>
    <row r="83" spans="1:16" x14ac:dyDescent="0.35">
      <c r="A83" s="62">
        <v>34.200000000000003</v>
      </c>
      <c r="B83" s="14"/>
      <c r="C83" s="14"/>
      <c r="D83" s="14"/>
      <c r="E83" s="14"/>
      <c r="F83" s="34" t="s">
        <v>137</v>
      </c>
      <c r="G83" s="35">
        <v>48.1</v>
      </c>
      <c r="H83" s="36">
        <v>20.99</v>
      </c>
      <c r="I83" s="28">
        <f>31.85</f>
        <v>31.85</v>
      </c>
      <c r="J83" s="39">
        <f t="shared" si="5"/>
        <v>668.53149999999994</v>
      </c>
      <c r="K83" s="40">
        <f t="shared" si="6"/>
        <v>2.3500000000000014</v>
      </c>
      <c r="O83" s="49"/>
      <c r="P83" s="49"/>
    </row>
    <row r="84" spans="1:16" x14ac:dyDescent="0.35">
      <c r="A84" s="62">
        <v>27.9</v>
      </c>
      <c r="B84" s="14"/>
      <c r="C84" s="14"/>
      <c r="D84" s="14"/>
      <c r="E84" s="14"/>
      <c r="F84" s="34" t="s">
        <v>132</v>
      </c>
      <c r="G84" s="35">
        <v>50.4</v>
      </c>
      <c r="H84" s="36">
        <v>28.99</v>
      </c>
      <c r="I84" s="28">
        <v>23.45</v>
      </c>
      <c r="J84" s="39">
        <f t="shared" si="5"/>
        <v>679.81549999999993</v>
      </c>
      <c r="K84" s="40">
        <f t="shared" si="6"/>
        <v>4.4499999999999993</v>
      </c>
      <c r="O84" s="49"/>
      <c r="P84" s="49"/>
    </row>
    <row r="85" spans="1:16" x14ac:dyDescent="0.35">
      <c r="A85" s="62">
        <v>75.599999999999994</v>
      </c>
      <c r="B85" s="14"/>
      <c r="C85" s="14"/>
      <c r="D85" s="14"/>
      <c r="E85" s="14"/>
      <c r="F85" s="34" t="s">
        <v>136</v>
      </c>
      <c r="G85" s="35">
        <v>48</v>
      </c>
      <c r="H85" s="36">
        <v>20.99</v>
      </c>
      <c r="I85" s="28">
        <f>27.45+48.75</f>
        <v>76.2</v>
      </c>
      <c r="J85" s="39">
        <f t="shared" si="5"/>
        <v>1599.4379999999999</v>
      </c>
      <c r="K85" s="40">
        <f t="shared" si="6"/>
        <v>-0.60000000000000853</v>
      </c>
      <c r="O85" s="49"/>
      <c r="P85" s="49"/>
    </row>
    <row r="86" spans="1:16" x14ac:dyDescent="0.35">
      <c r="A86" s="62">
        <v>46.65</v>
      </c>
      <c r="B86" s="14"/>
      <c r="C86" s="14"/>
      <c r="D86" s="14"/>
      <c r="E86" s="14"/>
      <c r="F86" s="34" t="s">
        <v>222</v>
      </c>
      <c r="G86" s="35"/>
      <c r="H86" s="36"/>
      <c r="I86" s="28">
        <f>46.65</f>
        <v>46.65</v>
      </c>
      <c r="J86" s="39">
        <f t="shared" si="5"/>
        <v>0</v>
      </c>
      <c r="K86" s="40">
        <f t="shared" si="6"/>
        <v>0</v>
      </c>
      <c r="O86" s="49"/>
      <c r="P86" s="49"/>
    </row>
    <row r="87" spans="1:16" x14ac:dyDescent="0.35">
      <c r="A87" s="62">
        <v>42.05</v>
      </c>
      <c r="B87" s="14"/>
      <c r="C87" s="14"/>
      <c r="D87" s="14"/>
      <c r="E87" s="14"/>
      <c r="F87" s="34" t="s">
        <v>187</v>
      </c>
      <c r="G87" s="35"/>
      <c r="H87" s="36">
        <v>20.99</v>
      </c>
      <c r="I87" s="28">
        <f>40.6</f>
        <v>40.6</v>
      </c>
      <c r="J87" s="39">
        <f t="shared" si="5"/>
        <v>852.19399999999996</v>
      </c>
      <c r="K87" s="40">
        <f t="shared" si="6"/>
        <v>1.4499999999999957</v>
      </c>
      <c r="O87" s="49"/>
      <c r="P87" s="49"/>
    </row>
    <row r="88" spans="1:16" x14ac:dyDescent="0.35">
      <c r="A88" s="62">
        <v>62.95</v>
      </c>
      <c r="B88" s="14"/>
      <c r="C88" s="14"/>
      <c r="D88" s="14"/>
      <c r="E88" s="14"/>
      <c r="F88" s="34" t="s">
        <v>177</v>
      </c>
      <c r="G88" s="35">
        <v>42.75</v>
      </c>
      <c r="H88" s="36">
        <v>22.99</v>
      </c>
      <c r="I88" s="28">
        <f>42.75+42.7</f>
        <v>85.45</v>
      </c>
      <c r="J88" s="39">
        <f t="shared" si="5"/>
        <v>1964.4955</v>
      </c>
      <c r="K88" s="40">
        <f t="shared" si="6"/>
        <v>-22.5</v>
      </c>
      <c r="O88" s="49"/>
      <c r="P88" s="49"/>
    </row>
    <row r="89" spans="1:16" x14ac:dyDescent="0.35">
      <c r="A89" s="62">
        <v>22.7</v>
      </c>
      <c r="B89" s="14"/>
      <c r="C89" s="14"/>
      <c r="D89" s="14"/>
      <c r="E89" s="14"/>
      <c r="F89" s="34" t="s">
        <v>189</v>
      </c>
      <c r="G89" s="35">
        <v>42.35</v>
      </c>
      <c r="H89" s="36">
        <v>21.99</v>
      </c>
      <c r="I89" s="28">
        <f>22.1</f>
        <v>22.1</v>
      </c>
      <c r="J89" s="39">
        <f t="shared" si="5"/>
        <v>485.97899999999998</v>
      </c>
      <c r="K89" s="40">
        <f t="shared" si="6"/>
        <v>0.59999999999999787</v>
      </c>
      <c r="O89" s="49"/>
      <c r="P89" s="49"/>
    </row>
    <row r="90" spans="1:16" x14ac:dyDescent="0.35">
      <c r="A90" s="62">
        <v>78.8</v>
      </c>
      <c r="B90" s="14"/>
      <c r="C90" s="14"/>
      <c r="D90" s="14"/>
      <c r="E90" s="14"/>
      <c r="F90" s="34" t="s">
        <v>190</v>
      </c>
      <c r="G90" s="35">
        <v>41.15</v>
      </c>
      <c r="H90" s="36">
        <v>21.99</v>
      </c>
      <c r="I90" s="28">
        <f>36.7+41.5</f>
        <v>78.2</v>
      </c>
      <c r="J90" s="39">
        <f t="shared" si="5"/>
        <v>1719.6179999999999</v>
      </c>
      <c r="K90" s="40">
        <f t="shared" ref="K90:K95" si="7">(SUM(A90:E90))-I90</f>
        <v>0.59999999999999432</v>
      </c>
      <c r="O90" s="49"/>
      <c r="P90" s="49"/>
    </row>
    <row r="91" spans="1:16" x14ac:dyDescent="0.35">
      <c r="A91" s="62">
        <v>21.65</v>
      </c>
      <c r="B91" s="14"/>
      <c r="C91" s="14"/>
      <c r="D91" s="14"/>
      <c r="E91" s="14"/>
      <c r="F91" s="34" t="s">
        <v>191</v>
      </c>
      <c r="G91" s="35">
        <v>42.75</v>
      </c>
      <c r="H91" s="36">
        <v>21.99</v>
      </c>
      <c r="I91" s="28">
        <f>20.2</f>
        <v>20.2</v>
      </c>
      <c r="J91" s="39">
        <f t="shared" si="5"/>
        <v>444.19799999999998</v>
      </c>
      <c r="K91" s="40">
        <f t="shared" si="7"/>
        <v>1.4499999999999993</v>
      </c>
      <c r="O91" s="49"/>
      <c r="P91" s="49"/>
    </row>
    <row r="92" spans="1:16" x14ac:dyDescent="0.35">
      <c r="A92" s="62">
        <v>32.15</v>
      </c>
      <c r="B92" s="14"/>
      <c r="C92" s="14"/>
      <c r="D92" s="14"/>
      <c r="E92" s="14"/>
      <c r="F92" s="34" t="s">
        <v>192</v>
      </c>
      <c r="G92" s="35">
        <v>43.55</v>
      </c>
      <c r="H92" s="36">
        <v>33.99</v>
      </c>
      <c r="I92" s="28">
        <f>32.15</f>
        <v>32.15</v>
      </c>
      <c r="J92" s="39">
        <f t="shared" si="5"/>
        <v>1092.7785000000001</v>
      </c>
      <c r="K92" s="40">
        <f t="shared" si="7"/>
        <v>0</v>
      </c>
      <c r="O92" s="49"/>
      <c r="P92" s="49"/>
    </row>
    <row r="93" spans="1:16" x14ac:dyDescent="0.35">
      <c r="A93" s="62">
        <v>42.35</v>
      </c>
      <c r="B93" s="14"/>
      <c r="C93" s="14"/>
      <c r="D93" s="14"/>
      <c r="E93" s="14"/>
      <c r="F93" s="34" t="s">
        <v>193</v>
      </c>
      <c r="G93" s="35">
        <v>44.15</v>
      </c>
      <c r="H93" s="36">
        <v>34.99</v>
      </c>
      <c r="I93" s="28">
        <f>34.9</f>
        <v>34.9</v>
      </c>
      <c r="J93" s="39">
        <f t="shared" si="5"/>
        <v>1221.1510000000001</v>
      </c>
      <c r="K93" s="40">
        <f t="shared" si="7"/>
        <v>7.4500000000000028</v>
      </c>
      <c r="O93" s="49"/>
      <c r="P93" s="49"/>
    </row>
    <row r="94" spans="1:16" x14ac:dyDescent="0.35">
      <c r="A94" s="62">
        <v>143.55000000000001</v>
      </c>
      <c r="B94" s="14"/>
      <c r="C94" s="14"/>
      <c r="D94" s="14"/>
      <c r="E94" s="14"/>
      <c r="F94" s="34" t="s">
        <v>195</v>
      </c>
      <c r="G94" s="35">
        <v>48.1</v>
      </c>
      <c r="H94" s="36">
        <v>29.99</v>
      </c>
      <c r="I94" s="28">
        <f>27.65</f>
        <v>27.65</v>
      </c>
      <c r="J94" s="39">
        <f t="shared" si="5"/>
        <v>829.22349999999994</v>
      </c>
      <c r="K94" s="40">
        <f t="shared" si="7"/>
        <v>115.9</v>
      </c>
      <c r="O94" s="49"/>
      <c r="P94" s="49"/>
    </row>
    <row r="95" spans="1:16" x14ac:dyDescent="0.35">
      <c r="A95" s="62">
        <v>23.5</v>
      </c>
      <c r="B95" s="14"/>
      <c r="C95" s="14"/>
      <c r="D95" s="14"/>
      <c r="E95" s="14"/>
      <c r="F95" s="34" t="s">
        <v>194</v>
      </c>
      <c r="G95" s="35">
        <v>42.8</v>
      </c>
      <c r="H95" s="36">
        <v>25.99</v>
      </c>
      <c r="I95" s="28">
        <f>18.25</f>
        <v>18.25</v>
      </c>
      <c r="J95" s="39">
        <f t="shared" si="5"/>
        <v>474.3175</v>
      </c>
      <c r="K95" s="40">
        <f t="shared" si="7"/>
        <v>5.25</v>
      </c>
      <c r="O95" s="49"/>
      <c r="P95" s="49"/>
    </row>
    <row r="96" spans="1:16" ht="15" thickBot="1" x14ac:dyDescent="0.4">
      <c r="A96" s="62">
        <v>123.4</v>
      </c>
      <c r="B96" s="14"/>
      <c r="C96" s="14"/>
      <c r="D96" s="14"/>
      <c r="E96" s="14"/>
      <c r="F96" s="34" t="s">
        <v>188</v>
      </c>
      <c r="G96" s="35">
        <v>53.9</v>
      </c>
      <c r="H96" s="36">
        <v>33.99</v>
      </c>
      <c r="I96" s="28">
        <f>27.75+53.85</f>
        <v>81.599999999999994</v>
      </c>
      <c r="J96" s="39">
        <f t="shared" si="5"/>
        <v>2773.5839999999998</v>
      </c>
      <c r="K96" s="40">
        <f t="shared" si="6"/>
        <v>41.800000000000011</v>
      </c>
      <c r="O96" s="49"/>
      <c r="P96" s="49"/>
    </row>
    <row r="97" spans="1:16" ht="17.25" customHeight="1" thickBot="1" x14ac:dyDescent="0.6">
      <c r="A97" s="84" t="s">
        <v>9</v>
      </c>
      <c r="B97" s="85"/>
      <c r="C97" s="85"/>
      <c r="D97" s="85"/>
      <c r="E97" s="85"/>
      <c r="F97" s="85"/>
      <c r="G97" s="85"/>
      <c r="H97" s="85"/>
      <c r="I97" s="86"/>
      <c r="J97" s="87"/>
      <c r="K97" s="88"/>
      <c r="O97" s="49"/>
      <c r="P97" s="49"/>
    </row>
    <row r="98" spans="1:16" ht="24" thickBot="1" x14ac:dyDescent="0.6">
      <c r="A98" s="84" t="s">
        <v>139</v>
      </c>
      <c r="B98" s="85"/>
      <c r="C98" s="85"/>
      <c r="D98" s="85"/>
      <c r="E98" s="85"/>
      <c r="F98" s="85"/>
      <c r="G98" s="85"/>
      <c r="H98" s="85"/>
      <c r="I98" s="86"/>
      <c r="J98" s="89">
        <v>0</v>
      </c>
      <c r="K98" s="90"/>
    </row>
    <row r="99" spans="1:16" ht="24" thickBot="1" x14ac:dyDescent="0.6">
      <c r="A99" s="84" t="s">
        <v>55</v>
      </c>
      <c r="B99" s="85"/>
      <c r="C99" s="85"/>
      <c r="D99" s="85"/>
      <c r="E99" s="85"/>
      <c r="F99" s="85"/>
      <c r="G99" s="85"/>
      <c r="H99" s="85"/>
      <c r="I99" s="86"/>
      <c r="J99" s="89">
        <v>0</v>
      </c>
      <c r="K99" s="90"/>
    </row>
    <row r="100" spans="1:16" ht="24" thickBot="1" x14ac:dyDescent="0.6">
      <c r="A100" s="84" t="s">
        <v>11</v>
      </c>
      <c r="B100" s="85"/>
      <c r="C100" s="85"/>
      <c r="D100" s="85"/>
      <c r="E100" s="85"/>
      <c r="F100" s="85"/>
      <c r="G100" s="85"/>
      <c r="H100" s="85"/>
      <c r="I100" s="86"/>
      <c r="J100" s="87">
        <f>SUM(J65:J96)</f>
        <v>36840.813500000004</v>
      </c>
      <c r="K100" s="88"/>
    </row>
    <row r="101" spans="1:16" ht="24" thickBot="1" x14ac:dyDescent="0.6">
      <c r="A101" s="84" t="s">
        <v>140</v>
      </c>
      <c r="B101" s="85"/>
      <c r="C101" s="85"/>
      <c r="D101" s="85"/>
      <c r="E101" s="85"/>
      <c r="F101" s="85"/>
      <c r="G101" s="85"/>
      <c r="H101" s="85"/>
      <c r="I101" s="86"/>
      <c r="J101" s="89">
        <v>1739.25</v>
      </c>
      <c r="K101" s="90"/>
      <c r="O101" s="49"/>
      <c r="P101" s="49"/>
    </row>
    <row r="102" spans="1:16" ht="24" thickBot="1" x14ac:dyDescent="0.6">
      <c r="A102" s="84" t="s">
        <v>141</v>
      </c>
      <c r="B102" s="85"/>
      <c r="C102" s="85"/>
      <c r="D102" s="85"/>
      <c r="E102" s="85"/>
      <c r="F102" s="85"/>
      <c r="G102" s="85"/>
      <c r="H102" s="85"/>
      <c r="I102" s="86"/>
      <c r="J102" s="87">
        <f>J97+J98+J99-J100</f>
        <v>-36840.813500000004</v>
      </c>
      <c r="K102" s="88"/>
      <c r="O102" s="49"/>
      <c r="P102" s="49"/>
    </row>
    <row r="103" spans="1:16" ht="24" thickBot="1" x14ac:dyDescent="0.6">
      <c r="A103" s="109" t="s">
        <v>142</v>
      </c>
      <c r="B103" s="110"/>
      <c r="C103" s="110"/>
      <c r="D103" s="110"/>
      <c r="E103" s="110"/>
      <c r="F103" s="110"/>
      <c r="G103" s="110"/>
      <c r="H103" s="110"/>
      <c r="I103" s="111"/>
      <c r="J103" s="112">
        <f>J102/J101</f>
        <v>-21.18201149920943</v>
      </c>
      <c r="K103" s="113"/>
      <c r="O103" s="49"/>
      <c r="P103" s="49"/>
    </row>
    <row r="104" spans="1:16" ht="24" thickBot="1" x14ac:dyDescent="0.6">
      <c r="A104" s="109" t="s">
        <v>56</v>
      </c>
      <c r="B104" s="110"/>
      <c r="C104" s="110"/>
      <c r="D104" s="110"/>
      <c r="E104" s="110"/>
      <c r="F104" s="110"/>
      <c r="G104" s="110"/>
      <c r="H104" s="110"/>
      <c r="I104" s="111"/>
      <c r="J104" s="112" t="e">
        <f>((G186+G187+G189-J100)/G188)</f>
        <v>#REF!</v>
      </c>
      <c r="K104" s="113"/>
      <c r="O104" s="49"/>
      <c r="P104" s="49"/>
    </row>
    <row r="105" spans="1:16" ht="15" thickBot="1" x14ac:dyDescent="0.4">
      <c r="A105" s="62"/>
      <c r="B105" s="15"/>
      <c r="C105" s="15"/>
      <c r="D105" s="15"/>
      <c r="E105" s="15"/>
      <c r="F105" s="34"/>
      <c r="G105" s="35" t="e">
        <f>#REF!</f>
        <v>#REF!</v>
      </c>
      <c r="H105" s="36"/>
      <c r="I105" s="28"/>
      <c r="J105" s="39">
        <f t="shared" ref="J105" si="8">I105*H105</f>
        <v>0</v>
      </c>
      <c r="K105" s="40">
        <f t="shared" ref="K105" si="9">(SUM(A105:E105))-I105</f>
        <v>0</v>
      </c>
      <c r="O105" s="49"/>
      <c r="P105" s="49"/>
    </row>
    <row r="106" spans="1:16" x14ac:dyDescent="0.35">
      <c r="A106" s="145" t="s">
        <v>0</v>
      </c>
      <c r="B106" s="147" t="s">
        <v>1</v>
      </c>
      <c r="C106" s="148"/>
      <c r="D106" s="148"/>
      <c r="E106" s="149"/>
      <c r="F106" s="102" t="s">
        <v>2</v>
      </c>
      <c r="G106" s="102" t="s">
        <v>3</v>
      </c>
      <c r="H106" s="102" t="s">
        <v>4</v>
      </c>
      <c r="I106" s="102" t="s">
        <v>5</v>
      </c>
      <c r="J106" s="102" t="s">
        <v>6</v>
      </c>
      <c r="K106" s="104" t="s">
        <v>7</v>
      </c>
      <c r="O106" s="49"/>
      <c r="P106" s="49"/>
    </row>
    <row r="107" spans="1:16" x14ac:dyDescent="0.35">
      <c r="A107" s="146"/>
      <c r="B107" s="27">
        <v>1</v>
      </c>
      <c r="C107" s="27">
        <v>2</v>
      </c>
      <c r="D107" s="27">
        <v>3</v>
      </c>
      <c r="E107" s="27">
        <v>4</v>
      </c>
      <c r="F107" s="103"/>
      <c r="G107" s="103"/>
      <c r="H107" s="103"/>
      <c r="I107" s="103"/>
      <c r="J107" s="103"/>
      <c r="K107" s="105"/>
      <c r="O107" s="49"/>
      <c r="P107" s="49"/>
    </row>
    <row r="108" spans="1:16" ht="23.5" x14ac:dyDescent="0.55000000000000004">
      <c r="A108" s="106" t="s">
        <v>15</v>
      </c>
      <c r="B108" s="107"/>
      <c r="C108" s="107"/>
      <c r="D108" s="107"/>
      <c r="E108" s="107"/>
      <c r="F108" s="107"/>
      <c r="G108" s="107"/>
      <c r="H108" s="107"/>
      <c r="I108" s="107"/>
      <c r="J108" s="107"/>
      <c r="K108" s="108"/>
      <c r="O108" s="49"/>
      <c r="P108" s="49"/>
    </row>
    <row r="109" spans="1:16" x14ac:dyDescent="0.35">
      <c r="A109" s="62">
        <v>27</v>
      </c>
      <c r="B109" s="14">
        <v>15</v>
      </c>
      <c r="C109" s="14">
        <v>30</v>
      </c>
      <c r="D109" s="14">
        <v>30</v>
      </c>
      <c r="E109" s="14"/>
      <c r="F109" s="34" t="s">
        <v>104</v>
      </c>
      <c r="G109" s="35" t="e">
        <f>#REF!</f>
        <v>#REF!</v>
      </c>
      <c r="H109" s="36">
        <v>2.06</v>
      </c>
      <c r="I109" s="28">
        <f>12+15</f>
        <v>27</v>
      </c>
      <c r="J109" s="39">
        <f>I109*H109</f>
        <v>55.620000000000005</v>
      </c>
      <c r="K109" s="40">
        <f>(SUM(A109:E109))-I109</f>
        <v>75</v>
      </c>
      <c r="O109" s="49"/>
      <c r="P109" s="49"/>
    </row>
    <row r="110" spans="1:16" x14ac:dyDescent="0.35">
      <c r="A110" s="62">
        <v>28</v>
      </c>
      <c r="B110" s="15">
        <v>15</v>
      </c>
      <c r="C110" s="15"/>
      <c r="D110" s="15">
        <v>30</v>
      </c>
      <c r="E110" s="15"/>
      <c r="F110" s="34" t="s">
        <v>103</v>
      </c>
      <c r="G110" s="35" t="e">
        <f>#REF!</f>
        <v>#REF!</v>
      </c>
      <c r="H110" s="36">
        <v>2.06</v>
      </c>
      <c r="I110" s="17">
        <f>9</f>
        <v>9</v>
      </c>
      <c r="J110" s="39">
        <f t="shared" ref="J110:J124" si="10">I110*H110</f>
        <v>18.54</v>
      </c>
      <c r="K110" s="40">
        <f t="shared" ref="K110:K124" si="11">(SUM(A110:E110))-I110</f>
        <v>64</v>
      </c>
      <c r="O110" s="49"/>
      <c r="P110" s="49"/>
    </row>
    <row r="111" spans="1:16" x14ac:dyDescent="0.35">
      <c r="A111" s="62">
        <v>25</v>
      </c>
      <c r="B111" s="15">
        <v>15</v>
      </c>
      <c r="C111" s="15">
        <v>28</v>
      </c>
      <c r="D111" s="15">
        <v>28</v>
      </c>
      <c r="E111" s="15"/>
      <c r="F111" s="34" t="s">
        <v>100</v>
      </c>
      <c r="G111" s="35" t="e">
        <f>#REF!</f>
        <v>#REF!</v>
      </c>
      <c r="H111" s="36">
        <v>1.82</v>
      </c>
      <c r="I111" s="17">
        <v>1</v>
      </c>
      <c r="J111" s="39">
        <f t="shared" si="10"/>
        <v>1.82</v>
      </c>
      <c r="K111" s="40">
        <f t="shared" si="11"/>
        <v>95</v>
      </c>
      <c r="O111" s="49"/>
      <c r="P111" s="49"/>
    </row>
    <row r="112" spans="1:16" x14ac:dyDescent="0.35">
      <c r="A112" s="62">
        <v>16</v>
      </c>
      <c r="B112" s="15">
        <v>12</v>
      </c>
      <c r="C112" s="15"/>
      <c r="D112" s="15">
        <v>24</v>
      </c>
      <c r="E112" s="15"/>
      <c r="F112" s="34" t="s">
        <v>106</v>
      </c>
      <c r="G112" s="35" t="e">
        <f>#REF!</f>
        <v>#REF!</v>
      </c>
      <c r="H112" s="36">
        <v>2.5</v>
      </c>
      <c r="I112" s="17">
        <v>18</v>
      </c>
      <c r="J112" s="39">
        <f t="shared" si="10"/>
        <v>45</v>
      </c>
      <c r="K112" s="40">
        <f t="shared" si="11"/>
        <v>34</v>
      </c>
      <c r="O112" s="49"/>
      <c r="P112" s="49"/>
    </row>
    <row r="113" spans="1:16" x14ac:dyDescent="0.35">
      <c r="A113" s="62">
        <v>19</v>
      </c>
      <c r="B113" s="15"/>
      <c r="C113" s="15"/>
      <c r="D113" s="15"/>
      <c r="E113" s="15"/>
      <c r="F113" s="34" t="s">
        <v>175</v>
      </c>
      <c r="G113" s="35">
        <v>1</v>
      </c>
      <c r="H113" s="36">
        <v>2</v>
      </c>
      <c r="I113" s="17">
        <v>7</v>
      </c>
      <c r="J113" s="39">
        <f t="shared" si="10"/>
        <v>14</v>
      </c>
      <c r="K113" s="40">
        <f t="shared" si="11"/>
        <v>12</v>
      </c>
      <c r="O113" s="49"/>
      <c r="P113" s="49"/>
    </row>
    <row r="114" spans="1:16" x14ac:dyDescent="0.35">
      <c r="A114" s="62">
        <v>43</v>
      </c>
      <c r="B114" s="15"/>
      <c r="C114" s="15">
        <v>28</v>
      </c>
      <c r="D114" s="15">
        <v>28</v>
      </c>
      <c r="E114" s="15"/>
      <c r="F114" s="34" t="s">
        <v>16</v>
      </c>
      <c r="G114" s="35" t="e">
        <f>#REF!</f>
        <v>#REF!</v>
      </c>
      <c r="H114" s="36">
        <v>2.2000000000000002</v>
      </c>
      <c r="I114" s="17"/>
      <c r="J114" s="39">
        <f t="shared" si="10"/>
        <v>0</v>
      </c>
      <c r="K114" s="40">
        <f t="shared" si="11"/>
        <v>99</v>
      </c>
      <c r="O114" s="49"/>
      <c r="P114" s="49"/>
    </row>
    <row r="115" spans="1:16" x14ac:dyDescent="0.35">
      <c r="A115" s="62">
        <v>12</v>
      </c>
      <c r="B115" s="15"/>
      <c r="C115" s="15"/>
      <c r="D115" s="15">
        <v>24</v>
      </c>
      <c r="E115" s="15"/>
      <c r="F115" s="34" t="s">
        <v>17</v>
      </c>
      <c r="G115" s="35" t="e">
        <f>#REF!</f>
        <v>#REF!</v>
      </c>
      <c r="H115" s="36">
        <v>3</v>
      </c>
      <c r="I115" s="17">
        <v>10</v>
      </c>
      <c r="J115" s="39">
        <f t="shared" si="10"/>
        <v>30</v>
      </c>
      <c r="K115" s="40">
        <f t="shared" si="11"/>
        <v>26</v>
      </c>
      <c r="O115" s="49"/>
      <c r="P115" s="49"/>
    </row>
    <row r="116" spans="1:16" x14ac:dyDescent="0.35">
      <c r="A116" s="62">
        <v>38</v>
      </c>
      <c r="B116" s="15"/>
      <c r="C116" s="15"/>
      <c r="D116" s="15"/>
      <c r="E116" s="15"/>
      <c r="F116" s="34" t="s">
        <v>105</v>
      </c>
      <c r="G116" s="35" t="e">
        <f>#REF!</f>
        <v>#REF!</v>
      </c>
      <c r="H116" s="36">
        <v>2.14</v>
      </c>
      <c r="I116" s="17">
        <v>24</v>
      </c>
      <c r="J116" s="39">
        <f t="shared" si="10"/>
        <v>51.36</v>
      </c>
      <c r="K116" s="40">
        <f t="shared" si="11"/>
        <v>14</v>
      </c>
      <c r="O116" s="49"/>
      <c r="P116" s="49"/>
    </row>
    <row r="117" spans="1:16" x14ac:dyDescent="0.35">
      <c r="A117" s="62">
        <v>44</v>
      </c>
      <c r="B117" s="15"/>
      <c r="C117" s="15">
        <v>30</v>
      </c>
      <c r="D117" s="15">
        <v>30</v>
      </c>
      <c r="E117" s="15"/>
      <c r="F117" s="34" t="s">
        <v>102</v>
      </c>
      <c r="G117" s="35" t="e">
        <f>#REF!</f>
        <v>#REF!</v>
      </c>
      <c r="H117" s="36">
        <v>2.06</v>
      </c>
      <c r="I117" s="31">
        <v>19</v>
      </c>
      <c r="J117" s="39">
        <f t="shared" si="10"/>
        <v>39.14</v>
      </c>
      <c r="K117" s="40">
        <f t="shared" si="11"/>
        <v>85</v>
      </c>
      <c r="O117" s="49"/>
      <c r="P117" s="49"/>
    </row>
    <row r="118" spans="1:16" x14ac:dyDescent="0.35">
      <c r="A118" s="62">
        <v>25</v>
      </c>
      <c r="B118" s="15"/>
      <c r="C118" s="15">
        <v>15</v>
      </c>
      <c r="D118" s="15"/>
      <c r="E118" s="15"/>
      <c r="F118" s="34" t="s">
        <v>44</v>
      </c>
      <c r="G118" s="35" t="e">
        <f>#REF!</f>
        <v>#REF!</v>
      </c>
      <c r="H118" s="36">
        <v>2.08</v>
      </c>
      <c r="I118" s="17">
        <v>30</v>
      </c>
      <c r="J118" s="39">
        <f t="shared" si="10"/>
        <v>62.400000000000006</v>
      </c>
      <c r="K118" s="40">
        <f t="shared" si="11"/>
        <v>10</v>
      </c>
      <c r="O118" s="49"/>
      <c r="P118" s="49"/>
    </row>
    <row r="119" spans="1:16" x14ac:dyDescent="0.35">
      <c r="A119" s="62">
        <v>27</v>
      </c>
      <c r="B119" s="15"/>
      <c r="C119" s="15"/>
      <c r="D119" s="15"/>
      <c r="E119" s="15"/>
      <c r="F119" s="34" t="s">
        <v>107</v>
      </c>
      <c r="G119" s="35" t="e">
        <f>#REF!</f>
        <v>#REF!</v>
      </c>
      <c r="H119" s="36">
        <v>2.33</v>
      </c>
      <c r="I119" s="17">
        <v>26</v>
      </c>
      <c r="J119" s="39">
        <f t="shared" si="10"/>
        <v>60.58</v>
      </c>
      <c r="K119" s="40">
        <f t="shared" si="11"/>
        <v>1</v>
      </c>
      <c r="O119" s="49"/>
      <c r="P119" s="49"/>
    </row>
    <row r="120" spans="1:16" x14ac:dyDescent="0.35">
      <c r="A120" s="62">
        <v>45</v>
      </c>
      <c r="B120" s="15"/>
      <c r="C120" s="15"/>
      <c r="D120" s="15">
        <v>28</v>
      </c>
      <c r="E120" s="15"/>
      <c r="F120" s="34" t="s">
        <v>101</v>
      </c>
      <c r="G120" s="35" t="e">
        <f>#REF!</f>
        <v>#REF!</v>
      </c>
      <c r="H120" s="36">
        <v>1.82</v>
      </c>
      <c r="I120" s="17">
        <f>28+9+6</f>
        <v>43</v>
      </c>
      <c r="J120" s="39">
        <f t="shared" si="10"/>
        <v>78.260000000000005</v>
      </c>
      <c r="K120" s="40">
        <f t="shared" si="11"/>
        <v>30</v>
      </c>
      <c r="O120" s="49"/>
      <c r="P120" s="49"/>
    </row>
    <row r="121" spans="1:16" x14ac:dyDescent="0.35">
      <c r="A121" s="62">
        <v>24</v>
      </c>
      <c r="B121" s="15"/>
      <c r="C121" s="15"/>
      <c r="D121" s="15"/>
      <c r="E121" s="15"/>
      <c r="F121" s="34" t="s">
        <v>108</v>
      </c>
      <c r="G121" s="35" t="e">
        <f>#REF!</f>
        <v>#REF!</v>
      </c>
      <c r="H121" s="36">
        <v>1.5</v>
      </c>
      <c r="I121" s="17">
        <f>24</f>
        <v>24</v>
      </c>
      <c r="J121" s="39">
        <f t="shared" si="10"/>
        <v>36</v>
      </c>
      <c r="K121" s="40">
        <f t="shared" si="11"/>
        <v>0</v>
      </c>
      <c r="O121" s="49"/>
      <c r="P121" s="49"/>
    </row>
    <row r="122" spans="1:16" x14ac:dyDescent="0.35">
      <c r="A122" s="62">
        <v>28</v>
      </c>
      <c r="B122" s="15"/>
      <c r="C122" s="15"/>
      <c r="D122" s="15"/>
      <c r="E122" s="15"/>
      <c r="F122" s="34" t="s">
        <v>18</v>
      </c>
      <c r="G122" s="35" t="e">
        <f>#REF!</f>
        <v>#REF!</v>
      </c>
      <c r="H122" s="36">
        <v>2.1</v>
      </c>
      <c r="I122" s="17"/>
      <c r="J122" s="39">
        <f t="shared" si="10"/>
        <v>0</v>
      </c>
      <c r="K122" s="40">
        <f t="shared" si="11"/>
        <v>28</v>
      </c>
      <c r="O122" s="49"/>
      <c r="P122" s="49"/>
    </row>
    <row r="123" spans="1:16" x14ac:dyDescent="0.35">
      <c r="A123" s="62">
        <v>23</v>
      </c>
      <c r="B123" s="15"/>
      <c r="C123" s="15">
        <v>12</v>
      </c>
      <c r="D123" s="15"/>
      <c r="E123" s="15"/>
      <c r="F123" s="34" t="s">
        <v>99</v>
      </c>
      <c r="G123" s="35" t="e">
        <f>#REF!</f>
        <v>#REF!</v>
      </c>
      <c r="H123" s="36">
        <v>2.41</v>
      </c>
      <c r="I123" s="17">
        <v>16</v>
      </c>
      <c r="J123" s="39">
        <f t="shared" si="10"/>
        <v>38.56</v>
      </c>
      <c r="K123" s="40">
        <f t="shared" si="11"/>
        <v>19</v>
      </c>
      <c r="O123" s="49"/>
      <c r="P123" s="49"/>
    </row>
    <row r="124" spans="1:16" ht="20.149999999999999" customHeight="1" x14ac:dyDescent="0.35">
      <c r="A124" s="62">
        <v>27</v>
      </c>
      <c r="B124" s="15"/>
      <c r="C124" s="15">
        <v>28</v>
      </c>
      <c r="D124" s="15"/>
      <c r="E124" s="15"/>
      <c r="F124" s="34" t="s">
        <v>19</v>
      </c>
      <c r="G124" s="35" t="e">
        <f>#REF!</f>
        <v>#REF!</v>
      </c>
      <c r="H124" s="36">
        <v>2.5499999999999998</v>
      </c>
      <c r="I124" s="17">
        <v>25</v>
      </c>
      <c r="J124" s="39">
        <f t="shared" si="10"/>
        <v>63.749999999999993</v>
      </c>
      <c r="K124" s="40">
        <f t="shared" si="11"/>
        <v>30</v>
      </c>
    </row>
    <row r="125" spans="1:16" ht="20.149999999999999" customHeight="1" x14ac:dyDescent="0.35">
      <c r="A125" s="91" t="s">
        <v>117</v>
      </c>
      <c r="B125" s="92"/>
      <c r="C125" s="92"/>
      <c r="D125" s="92"/>
      <c r="E125" s="92"/>
      <c r="F125" s="92"/>
      <c r="G125" s="92"/>
      <c r="H125" s="92"/>
      <c r="I125" s="92"/>
      <c r="J125" s="92"/>
      <c r="K125" s="93"/>
    </row>
    <row r="126" spans="1:16" ht="20.149999999999999" customHeight="1" x14ac:dyDescent="0.35">
      <c r="A126" s="62"/>
      <c r="B126" s="15"/>
      <c r="C126" s="15"/>
      <c r="D126" s="15"/>
      <c r="E126" s="15"/>
      <c r="F126" s="34" t="s">
        <v>116</v>
      </c>
      <c r="G126" s="35" t="e">
        <f>#REF!</f>
        <v>#REF!</v>
      </c>
      <c r="H126" s="36">
        <v>2.7</v>
      </c>
      <c r="I126" s="17"/>
      <c r="J126" s="39">
        <f t="shared" ref="J126:J131" si="12">I126*H126</f>
        <v>0</v>
      </c>
      <c r="K126" s="40">
        <f t="shared" ref="K126:K134" si="13">(SUM(A126:E126))-I126</f>
        <v>0</v>
      </c>
    </row>
    <row r="127" spans="1:16" ht="20.149999999999999" customHeight="1" x14ac:dyDescent="0.35">
      <c r="A127" s="62">
        <v>11</v>
      </c>
      <c r="B127" s="15">
        <v>8</v>
      </c>
      <c r="C127" s="15"/>
      <c r="D127" s="15"/>
      <c r="E127" s="15"/>
      <c r="F127" s="34" t="s">
        <v>115</v>
      </c>
      <c r="G127" s="35" t="e">
        <f>#REF!</f>
        <v>#REF!</v>
      </c>
      <c r="H127" s="36">
        <v>3.12</v>
      </c>
      <c r="I127" s="17">
        <v>4</v>
      </c>
      <c r="J127" s="39">
        <f t="shared" si="12"/>
        <v>12.48</v>
      </c>
      <c r="K127" s="40">
        <f t="shared" si="13"/>
        <v>15</v>
      </c>
    </row>
    <row r="128" spans="1:16" ht="20.149999999999999" customHeight="1" x14ac:dyDescent="0.35">
      <c r="A128" s="62">
        <v>2</v>
      </c>
      <c r="B128" s="15"/>
      <c r="C128" s="15"/>
      <c r="D128" s="15"/>
      <c r="E128" s="15"/>
      <c r="F128" s="34" t="s">
        <v>114</v>
      </c>
      <c r="G128" s="35" t="e">
        <f>#REF!</f>
        <v>#REF!</v>
      </c>
      <c r="H128" s="36">
        <v>2.4900000000000002</v>
      </c>
      <c r="I128" s="17"/>
      <c r="J128" s="39">
        <f t="shared" si="12"/>
        <v>0</v>
      </c>
      <c r="K128" s="40">
        <f t="shared" si="13"/>
        <v>2</v>
      </c>
    </row>
    <row r="129" spans="1:11" ht="20.149999999999999" customHeight="1" x14ac:dyDescent="0.35">
      <c r="A129" s="62">
        <v>3</v>
      </c>
      <c r="B129" s="15"/>
      <c r="C129" s="15"/>
      <c r="D129" s="15"/>
      <c r="E129" s="15"/>
      <c r="F129" s="34" t="s">
        <v>109</v>
      </c>
      <c r="G129" s="35" t="e">
        <f>#REF!</f>
        <v>#REF!</v>
      </c>
      <c r="H129" s="36">
        <v>2.7</v>
      </c>
      <c r="I129" s="17"/>
      <c r="J129" s="39">
        <f t="shared" si="12"/>
        <v>0</v>
      </c>
      <c r="K129" s="40">
        <f t="shared" si="13"/>
        <v>3</v>
      </c>
    </row>
    <row r="130" spans="1:11" ht="20.149999999999999" customHeight="1" x14ac:dyDescent="0.35">
      <c r="A130" s="62">
        <v>36</v>
      </c>
      <c r="B130" s="15"/>
      <c r="C130" s="15"/>
      <c r="D130" s="15"/>
      <c r="E130" s="15"/>
      <c r="F130" s="34" t="s">
        <v>110</v>
      </c>
      <c r="G130" s="35" t="e">
        <f>#REF!</f>
        <v>#REF!</v>
      </c>
      <c r="H130" s="36">
        <v>2.7</v>
      </c>
      <c r="I130" s="17"/>
      <c r="J130" s="39">
        <f t="shared" si="12"/>
        <v>0</v>
      </c>
      <c r="K130" s="40">
        <f t="shared" si="13"/>
        <v>36</v>
      </c>
    </row>
    <row r="131" spans="1:11" ht="20.149999999999999" customHeight="1" x14ac:dyDescent="0.35">
      <c r="A131" s="62"/>
      <c r="B131" s="15"/>
      <c r="C131" s="15"/>
      <c r="D131" s="15"/>
      <c r="E131" s="15"/>
      <c r="F131" s="34" t="s">
        <v>111</v>
      </c>
      <c r="G131" s="35" t="e">
        <f>#REF!</f>
        <v>#REF!</v>
      </c>
      <c r="H131" s="36">
        <v>2.7</v>
      </c>
      <c r="I131" s="17"/>
      <c r="J131" s="39">
        <f t="shared" si="12"/>
        <v>0</v>
      </c>
      <c r="K131" s="40">
        <f t="shared" si="13"/>
        <v>0</v>
      </c>
    </row>
    <row r="132" spans="1:11" x14ac:dyDescent="0.35">
      <c r="A132" s="62">
        <v>7</v>
      </c>
      <c r="B132" s="15"/>
      <c r="C132" s="15"/>
      <c r="D132" s="15"/>
      <c r="E132" s="15"/>
      <c r="F132" s="34" t="s">
        <v>113</v>
      </c>
      <c r="G132" s="35" t="e">
        <f>#REF!</f>
        <v>#REF!</v>
      </c>
      <c r="H132" s="36">
        <v>2.33</v>
      </c>
      <c r="I132" s="17"/>
      <c r="J132" s="39">
        <v>0</v>
      </c>
      <c r="K132" s="40">
        <f t="shared" si="13"/>
        <v>7</v>
      </c>
    </row>
    <row r="133" spans="1:11" ht="20.149999999999999" customHeight="1" x14ac:dyDescent="0.35">
      <c r="A133" s="62">
        <v>6</v>
      </c>
      <c r="B133" s="15"/>
      <c r="C133" s="15"/>
      <c r="D133" s="15"/>
      <c r="E133" s="15"/>
      <c r="F133" s="34" t="s">
        <v>72</v>
      </c>
      <c r="G133" s="35" t="e">
        <f>#REF!</f>
        <v>#REF!</v>
      </c>
      <c r="H133" s="36">
        <v>3.24</v>
      </c>
      <c r="I133" s="17"/>
      <c r="J133" s="39">
        <f>I133*H133</f>
        <v>0</v>
      </c>
      <c r="K133" s="40">
        <f t="shared" si="13"/>
        <v>6</v>
      </c>
    </row>
    <row r="134" spans="1:11" ht="15" thickBot="1" x14ac:dyDescent="0.4">
      <c r="A134" s="62"/>
      <c r="B134" s="18"/>
      <c r="C134" s="18"/>
      <c r="D134" s="18"/>
      <c r="E134" s="18"/>
      <c r="F134" s="41" t="s">
        <v>112</v>
      </c>
      <c r="G134" s="42" t="e">
        <f>#REF!</f>
        <v>#REF!</v>
      </c>
      <c r="H134" s="43">
        <v>2.41</v>
      </c>
      <c r="I134" s="29"/>
      <c r="J134" s="44">
        <f>I134*H134</f>
        <v>0</v>
      </c>
      <c r="K134" s="45">
        <f t="shared" si="13"/>
        <v>0</v>
      </c>
    </row>
    <row r="135" spans="1:11" ht="15" customHeight="1" thickBot="1" x14ac:dyDescent="0.6">
      <c r="A135" s="84" t="s">
        <v>9</v>
      </c>
      <c r="B135" s="85"/>
      <c r="C135" s="85"/>
      <c r="D135" s="85"/>
      <c r="E135" s="85"/>
      <c r="F135" s="85"/>
      <c r="G135" s="85"/>
      <c r="H135" s="85"/>
      <c r="I135" s="86"/>
      <c r="J135" s="87">
        <v>1757.8899999999999</v>
      </c>
      <c r="K135" s="88"/>
    </row>
    <row r="136" spans="1:11" ht="24" thickBot="1" x14ac:dyDescent="0.6">
      <c r="A136" s="84" t="s">
        <v>21</v>
      </c>
      <c r="B136" s="85"/>
      <c r="C136" s="85"/>
      <c r="D136" s="85"/>
      <c r="E136" s="85"/>
      <c r="F136" s="85"/>
      <c r="G136" s="85"/>
      <c r="H136" s="85"/>
      <c r="I136" s="86"/>
      <c r="J136" s="89">
        <v>0</v>
      </c>
      <c r="K136" s="90"/>
    </row>
    <row r="137" spans="1:11" ht="24" thickBot="1" x14ac:dyDescent="0.6">
      <c r="A137" s="84" t="s">
        <v>55</v>
      </c>
      <c r="B137" s="85"/>
      <c r="C137" s="85"/>
      <c r="D137" s="85"/>
      <c r="E137" s="85"/>
      <c r="F137" s="85"/>
      <c r="G137" s="85"/>
      <c r="H137" s="85"/>
      <c r="I137" s="86"/>
      <c r="J137" s="89">
        <v>0</v>
      </c>
      <c r="K137" s="90"/>
    </row>
    <row r="138" spans="1:11" ht="24" thickBot="1" x14ac:dyDescent="0.6">
      <c r="A138" s="84" t="s">
        <v>11</v>
      </c>
      <c r="B138" s="85"/>
      <c r="C138" s="85"/>
      <c r="D138" s="85"/>
      <c r="E138" s="85"/>
      <c r="F138" s="85"/>
      <c r="G138" s="85"/>
      <c r="H138" s="85"/>
      <c r="I138" s="86"/>
      <c r="J138" s="87">
        <f>SUM(J109:J134)</f>
        <v>607.51</v>
      </c>
      <c r="K138" s="88"/>
    </row>
    <row r="139" spans="1:11" ht="20.149999999999999" customHeight="1" thickBot="1" x14ac:dyDescent="0.6">
      <c r="A139" s="84" t="s">
        <v>22</v>
      </c>
      <c r="B139" s="85"/>
      <c r="C139" s="85"/>
      <c r="D139" s="85"/>
      <c r="E139" s="85"/>
      <c r="F139" s="85"/>
      <c r="G139" s="85"/>
      <c r="H139" s="85"/>
      <c r="I139" s="86"/>
      <c r="J139" s="89">
        <v>1739.25</v>
      </c>
      <c r="K139" s="90"/>
    </row>
    <row r="140" spans="1:11" ht="20.149999999999999" customHeight="1" thickBot="1" x14ac:dyDescent="0.6">
      <c r="A140" s="84" t="s">
        <v>23</v>
      </c>
      <c r="B140" s="85"/>
      <c r="C140" s="85"/>
      <c r="D140" s="85"/>
      <c r="E140" s="85"/>
      <c r="F140" s="85"/>
      <c r="G140" s="85"/>
      <c r="H140" s="85"/>
      <c r="I140" s="86"/>
      <c r="J140" s="87">
        <f>J135+J136+J137-J138</f>
        <v>1150.3799999999999</v>
      </c>
      <c r="K140" s="88"/>
    </row>
    <row r="141" spans="1:11" ht="20.149999999999999" customHeight="1" thickBot="1" x14ac:dyDescent="0.6">
      <c r="A141" s="109" t="s">
        <v>24</v>
      </c>
      <c r="B141" s="110"/>
      <c r="C141" s="110"/>
      <c r="D141" s="110"/>
      <c r="E141" s="110"/>
      <c r="F141" s="110"/>
      <c r="G141" s="110"/>
      <c r="H141" s="110"/>
      <c r="I141" s="111"/>
      <c r="J141" s="112">
        <f>J140/J139</f>
        <v>0.66142302716688217</v>
      </c>
      <c r="K141" s="113"/>
    </row>
    <row r="142" spans="1:11" ht="20.149999999999999" customHeight="1" thickBot="1" x14ac:dyDescent="0.6">
      <c r="A142" s="109" t="s">
        <v>56</v>
      </c>
      <c r="B142" s="110"/>
      <c r="C142" s="110"/>
      <c r="D142" s="110"/>
      <c r="E142" s="110"/>
      <c r="F142" s="110"/>
      <c r="G142" s="110"/>
      <c r="H142" s="110"/>
      <c r="I142" s="111"/>
      <c r="J142" s="112">
        <f>((G223+G224+G226-J138)/G225)</f>
        <v>0.66142302716688217</v>
      </c>
      <c r="K142" s="113"/>
    </row>
    <row r="143" spans="1:11" ht="20.149999999999999" customHeight="1" x14ac:dyDescent="0.35">
      <c r="A143" s="145" t="s">
        <v>0</v>
      </c>
      <c r="B143" s="147" t="s">
        <v>1</v>
      </c>
      <c r="C143" s="148"/>
      <c r="D143" s="148"/>
      <c r="E143" s="149"/>
      <c r="F143" s="102" t="s">
        <v>2</v>
      </c>
      <c r="G143" s="120" t="s">
        <v>66</v>
      </c>
      <c r="H143" s="102" t="s">
        <v>4</v>
      </c>
      <c r="I143" s="102" t="s">
        <v>5</v>
      </c>
      <c r="J143" s="102" t="s">
        <v>6</v>
      </c>
      <c r="K143" s="104" t="s">
        <v>7</v>
      </c>
    </row>
    <row r="144" spans="1:11" ht="20.149999999999999" customHeight="1" x14ac:dyDescent="0.35">
      <c r="A144" s="146"/>
      <c r="B144" s="27">
        <v>1</v>
      </c>
      <c r="C144" s="27">
        <v>2</v>
      </c>
      <c r="D144" s="27">
        <v>3</v>
      </c>
      <c r="E144" s="27">
        <v>4</v>
      </c>
      <c r="F144" s="103"/>
      <c r="G144" s="121"/>
      <c r="H144" s="103"/>
      <c r="I144" s="103"/>
      <c r="J144" s="103"/>
      <c r="K144" s="105"/>
    </row>
    <row r="145" spans="1:11" ht="20.149999999999999" customHeight="1" x14ac:dyDescent="0.55000000000000004">
      <c r="A145" s="106" t="s">
        <v>61</v>
      </c>
      <c r="B145" s="107"/>
      <c r="C145" s="107"/>
      <c r="D145" s="107"/>
      <c r="E145" s="107"/>
      <c r="F145" s="107"/>
      <c r="G145" s="107"/>
      <c r="H145" s="107"/>
      <c r="I145" s="107"/>
      <c r="J145" s="107"/>
      <c r="K145" s="108"/>
    </row>
    <row r="146" spans="1:11" ht="20.149999999999999" customHeight="1" x14ac:dyDescent="0.35">
      <c r="A146" s="62"/>
      <c r="B146" s="14"/>
      <c r="C146" s="14"/>
      <c r="D146" s="14"/>
      <c r="E146" s="14"/>
      <c r="F146" s="34" t="s">
        <v>121</v>
      </c>
      <c r="G146" s="35" t="e">
        <f>#REF!</f>
        <v>#REF!</v>
      </c>
      <c r="H146" s="36"/>
      <c r="I146" s="28">
        <v>0</v>
      </c>
      <c r="J146" s="39" t="e">
        <f>(I146/G146)*H146</f>
        <v>#REF!</v>
      </c>
      <c r="K146" s="40">
        <f>(SUM(A146:E146))-I146</f>
        <v>0</v>
      </c>
    </row>
    <row r="147" spans="1:11" x14ac:dyDescent="0.35">
      <c r="A147" s="30"/>
      <c r="B147" s="14">
        <v>2</v>
      </c>
      <c r="C147" s="14"/>
      <c r="D147" s="14"/>
      <c r="E147" s="14"/>
      <c r="F147" s="34" t="s">
        <v>116</v>
      </c>
      <c r="G147" s="35">
        <v>179.99</v>
      </c>
      <c r="H147" s="36"/>
      <c r="I147" s="28">
        <v>0</v>
      </c>
      <c r="J147" s="39">
        <f>(I147/G147)*H147</f>
        <v>0</v>
      </c>
      <c r="K147" s="40">
        <f>(SUM(A147:E147))-I147</f>
        <v>2</v>
      </c>
    </row>
    <row r="148" spans="1:11" x14ac:dyDescent="0.35">
      <c r="A148" s="30"/>
      <c r="B148" s="14"/>
      <c r="C148" s="14"/>
      <c r="D148" s="14"/>
      <c r="E148" s="14"/>
      <c r="F148" s="34" t="s">
        <v>20</v>
      </c>
      <c r="G148" s="35" t="e">
        <f>#REF!</f>
        <v>#REF!</v>
      </c>
      <c r="H148" s="36"/>
      <c r="I148" s="28">
        <v>0</v>
      </c>
      <c r="J148" s="39" t="e">
        <f>(I148/G148)*H148</f>
        <v>#REF!</v>
      </c>
      <c r="K148" s="40">
        <f>(SUM(A148:E148))-I148</f>
        <v>0</v>
      </c>
    </row>
    <row r="149" spans="1:11" ht="15" thickBot="1" x14ac:dyDescent="0.4">
      <c r="A149" s="30"/>
      <c r="B149" s="14"/>
      <c r="C149" s="14"/>
      <c r="D149" s="14"/>
      <c r="E149" s="14"/>
      <c r="F149" s="34" t="e">
        <f>#REF!</f>
        <v>#REF!</v>
      </c>
      <c r="G149" s="35" t="e">
        <f>#REF!</f>
        <v>#REF!</v>
      </c>
      <c r="H149" s="36" t="e">
        <f>#REF!</f>
        <v>#REF!</v>
      </c>
      <c r="I149" s="28">
        <v>0</v>
      </c>
      <c r="J149" s="39" t="e">
        <f>(I149/G149)*H149</f>
        <v>#REF!</v>
      </c>
      <c r="K149" s="40">
        <f>(SUM(A149:E149))-I149</f>
        <v>0</v>
      </c>
    </row>
    <row r="150" spans="1:11" ht="15" customHeight="1" thickBot="1" x14ac:dyDescent="0.6">
      <c r="A150" s="84" t="s">
        <v>9</v>
      </c>
      <c r="B150" s="85"/>
      <c r="C150" s="85"/>
      <c r="D150" s="85"/>
      <c r="E150" s="85"/>
      <c r="F150" s="85"/>
      <c r="G150" s="85"/>
      <c r="H150" s="85"/>
      <c r="I150" s="86"/>
      <c r="J150" s="87">
        <v>436.28818840579714</v>
      </c>
      <c r="K150" s="88"/>
    </row>
    <row r="151" spans="1:11" ht="24" thickBot="1" x14ac:dyDescent="0.6">
      <c r="A151" s="84" t="s">
        <v>62</v>
      </c>
      <c r="B151" s="85"/>
      <c r="C151" s="85"/>
      <c r="D151" s="85"/>
      <c r="E151" s="85"/>
      <c r="F151" s="85"/>
      <c r="G151" s="85"/>
      <c r="H151" s="85"/>
      <c r="I151" s="86"/>
      <c r="J151" s="89">
        <v>0</v>
      </c>
      <c r="K151" s="90"/>
    </row>
    <row r="152" spans="1:11" ht="15" customHeight="1" thickBot="1" x14ac:dyDescent="0.6">
      <c r="A152" s="84" t="s">
        <v>55</v>
      </c>
      <c r="B152" s="85"/>
      <c r="C152" s="85"/>
      <c r="D152" s="85"/>
      <c r="E152" s="85"/>
      <c r="F152" s="85"/>
      <c r="G152" s="85"/>
      <c r="H152" s="85"/>
      <c r="I152" s="86"/>
      <c r="J152" s="89">
        <v>0</v>
      </c>
      <c r="K152" s="90"/>
    </row>
    <row r="153" spans="1:11" ht="24" thickBot="1" x14ac:dyDescent="0.6">
      <c r="A153" s="84" t="s">
        <v>11</v>
      </c>
      <c r="B153" s="85"/>
      <c r="C153" s="85"/>
      <c r="D153" s="85"/>
      <c r="E153" s="85"/>
      <c r="F153" s="85"/>
      <c r="G153" s="85"/>
      <c r="H153" s="85"/>
      <c r="I153" s="86"/>
      <c r="J153" s="87" t="e">
        <f>J146+J147+J148</f>
        <v>#REF!</v>
      </c>
      <c r="K153" s="88"/>
    </row>
    <row r="154" spans="1:11" ht="24" thickBot="1" x14ac:dyDescent="0.6">
      <c r="A154" s="84" t="s">
        <v>63</v>
      </c>
      <c r="B154" s="85"/>
      <c r="C154" s="85"/>
      <c r="D154" s="85"/>
      <c r="E154" s="85"/>
      <c r="F154" s="85"/>
      <c r="G154" s="85"/>
      <c r="H154" s="85"/>
      <c r="I154" s="86"/>
      <c r="J154" s="89">
        <v>599.5</v>
      </c>
      <c r="K154" s="90"/>
    </row>
    <row r="155" spans="1:11" ht="24" thickBot="1" x14ac:dyDescent="0.6">
      <c r="A155" s="84" t="s">
        <v>64</v>
      </c>
      <c r="B155" s="85"/>
      <c r="C155" s="85"/>
      <c r="D155" s="85"/>
      <c r="E155" s="85"/>
      <c r="F155" s="85"/>
      <c r="G155" s="85"/>
      <c r="H155" s="85"/>
      <c r="I155" s="86"/>
      <c r="J155" s="87" t="e">
        <f>J150+J151+J152-J153</f>
        <v>#REF!</v>
      </c>
      <c r="K155" s="88"/>
    </row>
    <row r="156" spans="1:11" ht="24" thickBot="1" x14ac:dyDescent="0.6">
      <c r="A156" s="109" t="s">
        <v>65</v>
      </c>
      <c r="B156" s="110"/>
      <c r="C156" s="110"/>
      <c r="D156" s="110"/>
      <c r="E156" s="110"/>
      <c r="F156" s="110"/>
      <c r="G156" s="110"/>
      <c r="H156" s="110"/>
      <c r="I156" s="111"/>
      <c r="J156" s="112" t="e">
        <f>J155/J154</f>
        <v>#REF!</v>
      </c>
      <c r="K156" s="113"/>
    </row>
    <row r="157" spans="1:11" ht="24" thickBot="1" x14ac:dyDescent="0.6">
      <c r="A157" s="109" t="s">
        <v>56</v>
      </c>
      <c r="B157" s="110"/>
      <c r="C157" s="110"/>
      <c r="D157" s="110"/>
      <c r="E157" s="110"/>
      <c r="F157" s="110"/>
      <c r="G157" s="110"/>
      <c r="H157" s="110"/>
      <c r="I157" s="111"/>
      <c r="J157" s="112">
        <f>((G223+G224+G226-J138)/G225)</f>
        <v>0.66142302716688217</v>
      </c>
      <c r="K157" s="113"/>
    </row>
    <row r="158" spans="1:11" x14ac:dyDescent="0.35">
      <c r="A158" s="145" t="s">
        <v>0</v>
      </c>
      <c r="B158" s="147" t="s">
        <v>1</v>
      </c>
      <c r="C158" s="148"/>
      <c r="D158" s="148"/>
      <c r="E158" s="149"/>
      <c r="F158" s="102" t="s">
        <v>2</v>
      </c>
      <c r="G158" s="120" t="s">
        <v>53</v>
      </c>
      <c r="H158" s="102" t="s">
        <v>4</v>
      </c>
      <c r="I158" s="102" t="s">
        <v>5</v>
      </c>
      <c r="J158" s="102" t="s">
        <v>6</v>
      </c>
      <c r="K158" s="104" t="s">
        <v>7</v>
      </c>
    </row>
    <row r="159" spans="1:11" ht="15" thickBot="1" x14ac:dyDescent="0.4">
      <c r="A159" s="158"/>
      <c r="B159" s="27">
        <v>1</v>
      </c>
      <c r="C159" s="27">
        <v>2</v>
      </c>
      <c r="D159" s="27">
        <v>3</v>
      </c>
      <c r="E159" s="27">
        <v>4</v>
      </c>
      <c r="F159" s="150"/>
      <c r="G159" s="159"/>
      <c r="H159" s="150"/>
      <c r="I159" s="150"/>
      <c r="J159" s="150"/>
      <c r="K159" s="151"/>
    </row>
    <row r="160" spans="1:11" ht="24" thickBot="1" x14ac:dyDescent="0.6">
      <c r="A160" s="152" t="s">
        <v>25</v>
      </c>
      <c r="B160" s="153"/>
      <c r="C160" s="153"/>
      <c r="D160" s="153"/>
      <c r="E160" s="153"/>
      <c r="F160" s="153"/>
      <c r="G160" s="153"/>
      <c r="H160" s="153"/>
      <c r="I160" s="153"/>
      <c r="J160" s="153"/>
      <c r="K160" s="154"/>
    </row>
    <row r="161" spans="1:11" x14ac:dyDescent="0.35">
      <c r="A161" s="17">
        <v>92.9</v>
      </c>
      <c r="B161" s="14"/>
      <c r="C161" s="14"/>
      <c r="D161" s="14"/>
      <c r="E161" s="14"/>
      <c r="F161" s="34" t="s">
        <v>174</v>
      </c>
      <c r="G161" s="35">
        <v>147</v>
      </c>
      <c r="H161" s="36"/>
      <c r="I161" s="28">
        <f>147+32.65+148.3</f>
        <v>327.95000000000005</v>
      </c>
      <c r="J161" s="37">
        <f>IF(G161=0,0,(I161/G161)*H161)</f>
        <v>0</v>
      </c>
      <c r="K161" s="38">
        <f>IF(G161=0,0,(((SUM(A161:E161)/G161)-(I161/G161))*26))</f>
        <v>-41.573469387755111</v>
      </c>
    </row>
    <row r="162" spans="1:11" x14ac:dyDescent="0.35">
      <c r="A162" s="17"/>
      <c r="B162" s="15"/>
      <c r="C162" s="15"/>
      <c r="D162" s="15"/>
      <c r="E162" s="15"/>
      <c r="F162" s="34" t="s">
        <v>197</v>
      </c>
      <c r="G162" s="35" t="e">
        <f>#REF!</f>
        <v>#REF!</v>
      </c>
      <c r="H162" s="36"/>
      <c r="I162" s="17">
        <f>72.1</f>
        <v>72.099999999999994</v>
      </c>
      <c r="J162" s="37" t="e">
        <f t="shared" ref="J162:J179" si="14">IF(G162=0,0,(I162/G162)*H162)</f>
        <v>#REF!</v>
      </c>
      <c r="K162" s="38" t="e">
        <f>IF(G162=0,0,(((SUM(A162:E162)/G162)-(I162/G162))*52))</f>
        <v>#REF!</v>
      </c>
    </row>
    <row r="163" spans="1:11" x14ac:dyDescent="0.35">
      <c r="A163" s="17">
        <v>32.5</v>
      </c>
      <c r="B163" s="15"/>
      <c r="C163" s="15"/>
      <c r="D163" s="15"/>
      <c r="E163" s="15"/>
      <c r="F163" s="34" t="s">
        <v>199</v>
      </c>
      <c r="G163" s="35" t="e">
        <f>#REF!</f>
        <v>#REF!</v>
      </c>
      <c r="H163" s="36"/>
      <c r="I163" s="17">
        <v>25.25</v>
      </c>
      <c r="J163" s="37" t="e">
        <f t="shared" si="14"/>
        <v>#REF!</v>
      </c>
      <c r="K163" s="38" t="e">
        <f t="shared" ref="K163:K169" si="15">IF(G163=0,0,(((SUM(A163:E163)/G163)-(I163/G163))*26))</f>
        <v>#REF!</v>
      </c>
    </row>
    <row r="164" spans="1:11" x14ac:dyDescent="0.35">
      <c r="A164" s="17">
        <v>24.25</v>
      </c>
      <c r="B164" s="15"/>
      <c r="C164" s="15"/>
      <c r="D164" s="15"/>
      <c r="E164" s="15"/>
      <c r="F164" s="34" t="s">
        <v>201</v>
      </c>
      <c r="G164" s="35" t="e">
        <f>#REF!</f>
        <v>#REF!</v>
      </c>
      <c r="H164" s="36"/>
      <c r="I164" s="17">
        <f>22.5</f>
        <v>22.5</v>
      </c>
      <c r="J164" s="37" t="e">
        <f t="shared" si="14"/>
        <v>#REF!</v>
      </c>
      <c r="K164" s="38" t="e">
        <f>IF(G164=0,0,(((SUM(A164:E164)/G164)-(I164/G164))*52))</f>
        <v>#REF!</v>
      </c>
    </row>
    <row r="165" spans="1:11" x14ac:dyDescent="0.35">
      <c r="A165" s="29">
        <v>40.299999999999997</v>
      </c>
      <c r="B165" s="18"/>
      <c r="C165" s="18"/>
      <c r="D165" s="18"/>
      <c r="E165" s="18"/>
      <c r="F165" s="34" t="s">
        <v>202</v>
      </c>
      <c r="G165" s="35" t="e">
        <f>#REF!</f>
        <v>#REF!</v>
      </c>
      <c r="H165" s="36"/>
      <c r="I165" s="29">
        <v>40.299999999999997</v>
      </c>
      <c r="J165" s="37" t="e">
        <f t="shared" si="14"/>
        <v>#REF!</v>
      </c>
      <c r="K165" s="38" t="e">
        <f t="shared" si="15"/>
        <v>#REF!</v>
      </c>
    </row>
    <row r="166" spans="1:11" x14ac:dyDescent="0.35">
      <c r="A166" s="29">
        <v>31.55</v>
      </c>
      <c r="B166" s="18"/>
      <c r="C166" s="18"/>
      <c r="D166" s="18"/>
      <c r="E166" s="18"/>
      <c r="F166" s="34" t="s">
        <v>198</v>
      </c>
      <c r="G166" s="35" t="e">
        <f>#REF!</f>
        <v>#REF!</v>
      </c>
      <c r="H166" s="36"/>
      <c r="I166" s="29">
        <v>17.350000000000001</v>
      </c>
      <c r="J166" s="37" t="e">
        <f t="shared" si="14"/>
        <v>#REF!</v>
      </c>
      <c r="K166" s="38" t="e">
        <f>IF(G166=0,0,(((SUM(A166:E166)/G166)-(I166/G166))*52))</f>
        <v>#REF!</v>
      </c>
    </row>
    <row r="167" spans="1:11" x14ac:dyDescent="0.35">
      <c r="A167" s="29">
        <v>22.6</v>
      </c>
      <c r="B167" s="18"/>
      <c r="C167" s="18"/>
      <c r="D167" s="18"/>
      <c r="E167" s="18"/>
      <c r="F167" s="34" t="s">
        <v>200</v>
      </c>
      <c r="G167" s="35" t="e">
        <f>#REF!</f>
        <v>#REF!</v>
      </c>
      <c r="H167" s="36"/>
      <c r="I167" s="29">
        <v>31.55</v>
      </c>
      <c r="J167" s="37" t="e">
        <f t="shared" si="14"/>
        <v>#REF!</v>
      </c>
      <c r="K167" s="38" t="e">
        <f t="shared" si="15"/>
        <v>#REF!</v>
      </c>
    </row>
    <row r="168" spans="1:11" x14ac:dyDescent="0.35">
      <c r="A168" s="29"/>
      <c r="B168" s="18">
        <v>146.5</v>
      </c>
      <c r="C168" s="18"/>
      <c r="D168" s="18"/>
      <c r="E168" s="18"/>
      <c r="F168" s="34" t="s">
        <v>206</v>
      </c>
      <c r="G168" s="35" t="e">
        <f>#REF!</f>
        <v>#REF!</v>
      </c>
      <c r="H168" s="36"/>
      <c r="I168" s="29"/>
      <c r="J168" s="37" t="e">
        <f t="shared" si="14"/>
        <v>#REF!</v>
      </c>
      <c r="K168" s="38" t="e">
        <f>IF(G168=0,0,(((SUM(A168:E168)/G168)-(I168/G168))*52))</f>
        <v>#REF!</v>
      </c>
    </row>
    <row r="169" spans="1:11" x14ac:dyDescent="0.35">
      <c r="A169" s="29"/>
      <c r="B169" s="18"/>
      <c r="C169" s="18"/>
      <c r="D169" s="18"/>
      <c r="E169" s="18"/>
      <c r="F169" s="34" t="s">
        <v>207</v>
      </c>
      <c r="G169" s="35" t="e">
        <f>#REF!</f>
        <v>#REF!</v>
      </c>
      <c r="H169" s="36"/>
      <c r="I169" s="29"/>
      <c r="J169" s="37" t="e">
        <f t="shared" si="14"/>
        <v>#REF!</v>
      </c>
      <c r="K169" s="38" t="e">
        <f t="shared" si="15"/>
        <v>#REF!</v>
      </c>
    </row>
    <row r="170" spans="1:11" x14ac:dyDescent="0.35">
      <c r="A170" s="29"/>
      <c r="B170" s="18"/>
      <c r="C170" s="18"/>
      <c r="D170" s="18"/>
      <c r="E170" s="18"/>
      <c r="F170" s="34" t="s">
        <v>211</v>
      </c>
      <c r="G170" s="35"/>
      <c r="H170" s="36"/>
      <c r="I170" s="29">
        <v>31.5</v>
      </c>
      <c r="J170" s="37">
        <f t="shared" si="14"/>
        <v>0</v>
      </c>
      <c r="K170" s="38">
        <f>IF(G170=0,0,(((SUM(A170:E170)/G170)-(I170/G170))*52))</f>
        <v>0</v>
      </c>
    </row>
    <row r="171" spans="1:11" x14ac:dyDescent="0.35">
      <c r="A171" s="29"/>
      <c r="B171" s="18"/>
      <c r="C171" s="18"/>
      <c r="D171" s="18"/>
      <c r="E171" s="18"/>
      <c r="F171" s="34" t="s">
        <v>212</v>
      </c>
      <c r="G171" s="35">
        <v>40.950000000000003</v>
      </c>
      <c r="H171" s="36"/>
      <c r="I171" s="29">
        <v>36.35</v>
      </c>
      <c r="J171" s="37">
        <f t="shared" si="14"/>
        <v>0</v>
      </c>
      <c r="K171" s="38">
        <f t="shared" ref="K171:K179" si="16">IF(G171=0,0,(((SUM(A171:E171)/G171)-(I171/G171))*52))</f>
        <v>-46.158730158730158</v>
      </c>
    </row>
    <row r="172" spans="1:11" x14ac:dyDescent="0.35">
      <c r="A172" s="29"/>
      <c r="B172" s="18"/>
      <c r="C172" s="18"/>
      <c r="D172" s="18"/>
      <c r="E172" s="18"/>
      <c r="F172" s="34" t="s">
        <v>211</v>
      </c>
      <c r="G172" s="35">
        <v>40.950000000000003</v>
      </c>
      <c r="H172" s="36"/>
      <c r="I172" s="29">
        <v>41.85</v>
      </c>
      <c r="J172" s="37">
        <f t="shared" si="14"/>
        <v>0</v>
      </c>
      <c r="K172" s="38">
        <f t="shared" si="16"/>
        <v>-53.142857142857139</v>
      </c>
    </row>
    <row r="173" spans="1:11" x14ac:dyDescent="0.35">
      <c r="A173" s="29"/>
      <c r="B173" s="18"/>
      <c r="C173" s="18"/>
      <c r="D173" s="18"/>
      <c r="E173" s="18"/>
      <c r="F173" s="34"/>
      <c r="G173" s="35" t="e">
        <f>#REF!</f>
        <v>#REF!</v>
      </c>
      <c r="H173" s="36"/>
      <c r="I173" s="29"/>
      <c r="J173" s="37" t="e">
        <f t="shared" si="14"/>
        <v>#REF!</v>
      </c>
      <c r="K173" s="38" t="e">
        <f t="shared" si="16"/>
        <v>#REF!</v>
      </c>
    </row>
    <row r="174" spans="1:11" ht="24" customHeight="1" x14ac:dyDescent="0.35">
      <c r="A174" s="29"/>
      <c r="B174" s="18"/>
      <c r="C174" s="18"/>
      <c r="D174" s="18"/>
      <c r="E174" s="18"/>
      <c r="F174" s="34" t="e">
        <f>#REF!</f>
        <v>#REF!</v>
      </c>
      <c r="G174" s="35" t="e">
        <f>#REF!</f>
        <v>#REF!</v>
      </c>
      <c r="H174" s="36"/>
      <c r="I174" s="29"/>
      <c r="J174" s="37" t="e">
        <f t="shared" si="14"/>
        <v>#REF!</v>
      </c>
      <c r="K174" s="38" t="e">
        <f t="shared" si="16"/>
        <v>#REF!</v>
      </c>
    </row>
    <row r="175" spans="1:11" ht="19.5" customHeight="1" x14ac:dyDescent="0.35">
      <c r="A175" s="29"/>
      <c r="B175" s="18"/>
      <c r="C175" s="18"/>
      <c r="D175" s="18"/>
      <c r="E175" s="18"/>
      <c r="F175" s="34" t="e">
        <f>#REF!</f>
        <v>#REF!</v>
      </c>
      <c r="G175" s="35" t="e">
        <f>#REF!</f>
        <v>#REF!</v>
      </c>
      <c r="H175" s="36"/>
      <c r="I175" s="29"/>
      <c r="J175" s="37" t="e">
        <f t="shared" si="14"/>
        <v>#REF!</v>
      </c>
      <c r="K175" s="38" t="e">
        <f t="shared" si="16"/>
        <v>#REF!</v>
      </c>
    </row>
    <row r="176" spans="1:11" ht="19.5" customHeight="1" x14ac:dyDescent="0.35">
      <c r="A176" s="29"/>
      <c r="B176" s="18"/>
      <c r="C176" s="18"/>
      <c r="D176" s="18"/>
      <c r="E176" s="18"/>
      <c r="F176" s="34"/>
      <c r="G176" s="35" t="e">
        <f>#REF!</f>
        <v>#REF!</v>
      </c>
      <c r="H176" s="36" t="e">
        <f>#REF!</f>
        <v>#REF!</v>
      </c>
      <c r="I176" s="29"/>
      <c r="J176" s="37" t="e">
        <f t="shared" si="14"/>
        <v>#REF!</v>
      </c>
      <c r="K176" s="38" t="e">
        <f t="shared" si="16"/>
        <v>#REF!</v>
      </c>
    </row>
    <row r="177" spans="1:11" ht="19.5" customHeight="1" x14ac:dyDescent="0.35">
      <c r="A177" s="29"/>
      <c r="B177" s="18"/>
      <c r="C177" s="18"/>
      <c r="D177" s="18"/>
      <c r="E177" s="18"/>
      <c r="F177" s="34"/>
      <c r="G177" s="35" t="e">
        <f>#REF!</f>
        <v>#REF!</v>
      </c>
      <c r="H177" s="36" t="e">
        <f>#REF!</f>
        <v>#REF!</v>
      </c>
      <c r="I177" s="29"/>
      <c r="J177" s="37" t="e">
        <f t="shared" si="14"/>
        <v>#REF!</v>
      </c>
      <c r="K177" s="38" t="e">
        <f t="shared" si="16"/>
        <v>#REF!</v>
      </c>
    </row>
    <row r="178" spans="1:11" ht="19.5" customHeight="1" x14ac:dyDescent="0.35">
      <c r="A178" s="29"/>
      <c r="B178" s="18"/>
      <c r="C178" s="18"/>
      <c r="D178" s="18"/>
      <c r="E178" s="18"/>
      <c r="F178" s="34"/>
      <c r="G178" s="35" t="e">
        <f>#REF!</f>
        <v>#REF!</v>
      </c>
      <c r="H178" s="36" t="e">
        <f>#REF!</f>
        <v>#REF!</v>
      </c>
      <c r="I178" s="29"/>
      <c r="J178" s="37" t="e">
        <f t="shared" si="14"/>
        <v>#REF!</v>
      </c>
      <c r="K178" s="38" t="e">
        <f t="shared" si="16"/>
        <v>#REF!</v>
      </c>
    </row>
    <row r="179" spans="1:11" ht="15" customHeight="1" thickBot="1" x14ac:dyDescent="0.4">
      <c r="A179" s="29"/>
      <c r="B179" s="18"/>
      <c r="C179" s="18"/>
      <c r="D179" s="18"/>
      <c r="E179" s="18"/>
      <c r="F179" s="34"/>
      <c r="G179" s="35" t="e">
        <f>#REF!</f>
        <v>#REF!</v>
      </c>
      <c r="H179" s="36" t="e">
        <f>#REF!</f>
        <v>#REF!</v>
      </c>
      <c r="I179" s="29"/>
      <c r="J179" s="37" t="e">
        <f t="shared" si="14"/>
        <v>#REF!</v>
      </c>
      <c r="K179" s="38" t="e">
        <f t="shared" si="16"/>
        <v>#REF!</v>
      </c>
    </row>
    <row r="180" spans="1:11" ht="15" customHeight="1" thickBot="1" x14ac:dyDescent="0.6">
      <c r="A180" s="155" t="s">
        <v>26</v>
      </c>
      <c r="B180" s="156"/>
      <c r="C180" s="156"/>
      <c r="D180" s="156"/>
      <c r="E180" s="156"/>
      <c r="F180" s="156"/>
      <c r="G180" s="156"/>
      <c r="H180" s="156"/>
      <c r="I180" s="156"/>
      <c r="J180" s="156"/>
      <c r="K180" s="157"/>
    </row>
    <row r="181" spans="1:11" ht="15" customHeight="1" x14ac:dyDescent="0.35">
      <c r="A181" s="24"/>
      <c r="B181" s="52"/>
      <c r="C181" s="52"/>
      <c r="D181" s="52"/>
      <c r="E181" s="52"/>
      <c r="F181" s="66" t="s">
        <v>203</v>
      </c>
      <c r="G181" s="67" t="e">
        <f>#REF!</f>
        <v>#REF!</v>
      </c>
      <c r="H181" s="68"/>
      <c r="I181" s="24"/>
      <c r="J181" s="69" t="e">
        <f>IF(G181=0,0,(I181/G181)*H181)</f>
        <v>#REF!</v>
      </c>
      <c r="K181" s="70" t="e">
        <f>IF(G181=0,0,(((SUM(A181:E181)/G181)-(I181/G181))*26))</f>
        <v>#REF!</v>
      </c>
    </row>
    <row r="182" spans="1:11" ht="15" customHeight="1" x14ac:dyDescent="0.35">
      <c r="A182" s="17"/>
      <c r="B182" s="15"/>
      <c r="C182" s="15"/>
      <c r="D182" s="15"/>
      <c r="E182" s="15"/>
      <c r="F182" s="63" t="s">
        <v>210</v>
      </c>
      <c r="G182" s="64"/>
      <c r="H182" s="65"/>
      <c r="I182" s="17">
        <v>22.8</v>
      </c>
      <c r="J182" s="39">
        <f t="shared" ref="J182:J197" si="17">IF(G182=0,0,(I182/G182)*H182)</f>
        <v>0</v>
      </c>
      <c r="K182" s="40">
        <f>IF(G182=0,0,(((SUM(A182:E182)/G182)-(I182/G182))*52))</f>
        <v>0</v>
      </c>
    </row>
    <row r="183" spans="1:11" ht="15" customHeight="1" x14ac:dyDescent="0.35">
      <c r="A183" s="17"/>
      <c r="B183" s="15"/>
      <c r="C183" s="15"/>
      <c r="D183" s="15"/>
      <c r="E183" s="15"/>
      <c r="F183" s="63" t="s">
        <v>204</v>
      </c>
      <c r="G183" s="64" t="e">
        <f>#REF!</f>
        <v>#REF!</v>
      </c>
      <c r="H183" s="65"/>
      <c r="I183" s="17"/>
      <c r="J183" s="39" t="e">
        <f t="shared" si="17"/>
        <v>#REF!</v>
      </c>
      <c r="K183" s="40" t="e">
        <f t="shared" ref="K183:K188" si="18">IF(G183=0,0,(((SUM(A183:E183)/G183)-(I183/G183))*26))</f>
        <v>#REF!</v>
      </c>
    </row>
    <row r="184" spans="1:11" ht="15" customHeight="1" x14ac:dyDescent="0.35">
      <c r="A184" s="17"/>
      <c r="B184" s="15"/>
      <c r="C184" s="15"/>
      <c r="D184" s="15"/>
      <c r="E184" s="15"/>
      <c r="F184" s="63" t="s">
        <v>164</v>
      </c>
      <c r="G184" s="64" t="e">
        <f>#REF!</f>
        <v>#REF!</v>
      </c>
      <c r="H184" s="65"/>
      <c r="I184" s="17">
        <f>33.05+41.15</f>
        <v>74.199999999999989</v>
      </c>
      <c r="J184" s="39" t="e">
        <f t="shared" si="17"/>
        <v>#REF!</v>
      </c>
      <c r="K184" s="40" t="e">
        <f>IF(G184=0,0,(((SUM(A184:E184)/G184)-(I184/G184))*52))</f>
        <v>#REF!</v>
      </c>
    </row>
    <row r="185" spans="1:11" ht="15" customHeight="1" x14ac:dyDescent="0.35">
      <c r="A185" s="17"/>
      <c r="B185" s="15"/>
      <c r="C185" s="15"/>
      <c r="D185" s="15"/>
      <c r="E185" s="15"/>
      <c r="F185" s="63" t="s">
        <v>205</v>
      </c>
      <c r="G185" s="64" t="e">
        <f>#REF!</f>
        <v>#REF!</v>
      </c>
      <c r="H185" s="65"/>
      <c r="I185" s="17">
        <v>33.1</v>
      </c>
      <c r="J185" s="39" t="e">
        <f t="shared" si="17"/>
        <v>#REF!</v>
      </c>
      <c r="K185" s="40" t="e">
        <f>IF(G185=0,0,(((SUM(A185:E185)/G185)-(I185/G185))*52))</f>
        <v>#REF!</v>
      </c>
    </row>
    <row r="186" spans="1:11" ht="15" customHeight="1" x14ac:dyDescent="0.35">
      <c r="A186" s="17"/>
      <c r="B186" s="15"/>
      <c r="C186" s="15"/>
      <c r="D186" s="15"/>
      <c r="E186" s="15"/>
      <c r="F186" s="63" t="s">
        <v>209</v>
      </c>
      <c r="G186" s="64" t="e">
        <f>#REF!</f>
        <v>#REF!</v>
      </c>
      <c r="H186" s="65"/>
      <c r="I186" s="17">
        <f>116.5</f>
        <v>116.5</v>
      </c>
      <c r="J186" s="39" t="e">
        <f t="shared" si="17"/>
        <v>#REF!</v>
      </c>
      <c r="K186" s="40" t="e">
        <f t="shared" si="18"/>
        <v>#REF!</v>
      </c>
    </row>
    <row r="187" spans="1:11" ht="20.149999999999999" customHeight="1" x14ac:dyDescent="0.35">
      <c r="A187" s="17"/>
      <c r="B187" s="15"/>
      <c r="C187" s="15"/>
      <c r="D187" s="15"/>
      <c r="E187" s="15"/>
      <c r="F187" s="63" t="s">
        <v>208</v>
      </c>
      <c r="G187" s="64" t="e">
        <f>#REF!</f>
        <v>#REF!</v>
      </c>
      <c r="H187" s="65"/>
      <c r="I187" s="17"/>
      <c r="J187" s="39" t="e">
        <f t="shared" si="17"/>
        <v>#REF!</v>
      </c>
      <c r="K187" s="40" t="e">
        <f>IF(G187=0,0,(((SUM(A187:E187)/G187)-(I187/G187))*52))</f>
        <v>#REF!</v>
      </c>
    </row>
    <row r="188" spans="1:11" ht="20.149999999999999" customHeight="1" x14ac:dyDescent="0.35">
      <c r="A188" s="17"/>
      <c r="B188" s="15"/>
      <c r="C188" s="15"/>
      <c r="D188" s="15"/>
      <c r="E188" s="15"/>
      <c r="F188" s="63"/>
      <c r="G188" s="64" t="e">
        <f>#REF!</f>
        <v>#REF!</v>
      </c>
      <c r="H188" s="65"/>
      <c r="I188" s="17"/>
      <c r="J188" s="39" t="e">
        <f t="shared" si="17"/>
        <v>#REF!</v>
      </c>
      <c r="K188" s="40" t="e">
        <f t="shared" si="18"/>
        <v>#REF!</v>
      </c>
    </row>
    <row r="189" spans="1:11" ht="20.149999999999999" customHeight="1" x14ac:dyDescent="0.35">
      <c r="A189" s="17"/>
      <c r="B189" s="15"/>
      <c r="C189" s="15"/>
      <c r="D189" s="15"/>
      <c r="E189" s="15"/>
      <c r="F189" s="63"/>
      <c r="G189" s="64" t="e">
        <f>#REF!</f>
        <v>#REF!</v>
      </c>
      <c r="H189" s="65"/>
      <c r="I189" s="17"/>
      <c r="J189" s="39" t="e">
        <f t="shared" si="17"/>
        <v>#REF!</v>
      </c>
      <c r="K189" s="40" t="e">
        <f>IF(G189=0,0,(((SUM(A189:E189)/G189)-(I189/G189))*52))</f>
        <v>#REF!</v>
      </c>
    </row>
    <row r="190" spans="1:11" ht="20.149999999999999" customHeight="1" x14ac:dyDescent="0.35">
      <c r="A190" s="17"/>
      <c r="B190" s="15"/>
      <c r="C190" s="15"/>
      <c r="D190" s="15"/>
      <c r="E190" s="15"/>
      <c r="F190" s="34"/>
      <c r="G190" s="64">
        <v>40.950000000000003</v>
      </c>
      <c r="H190" s="65"/>
      <c r="I190" s="17"/>
      <c r="J190" s="39">
        <f t="shared" si="17"/>
        <v>0</v>
      </c>
      <c r="K190" s="40">
        <f t="shared" ref="K190:K197" si="19">IF(G190=0,0,(((SUM(A190:E190)/G190)-(I190/G190))*52))</f>
        <v>0</v>
      </c>
    </row>
    <row r="191" spans="1:11" ht="20.149999999999999" customHeight="1" x14ac:dyDescent="0.35">
      <c r="A191" s="17"/>
      <c r="B191" s="15"/>
      <c r="C191" s="15"/>
      <c r="D191" s="15"/>
      <c r="E191" s="15"/>
      <c r="F191" s="63"/>
      <c r="G191" s="64">
        <v>40.950000000000003</v>
      </c>
      <c r="H191" s="65"/>
      <c r="I191" s="17"/>
      <c r="J191" s="39">
        <f t="shared" si="17"/>
        <v>0</v>
      </c>
      <c r="K191" s="40">
        <f t="shared" si="19"/>
        <v>0</v>
      </c>
    </row>
    <row r="192" spans="1:11" x14ac:dyDescent="0.35">
      <c r="A192" s="17"/>
      <c r="B192" s="15"/>
      <c r="C192" s="15"/>
      <c r="D192" s="15"/>
      <c r="E192" s="15"/>
      <c r="F192" s="63"/>
      <c r="G192" s="64">
        <v>39.4</v>
      </c>
      <c r="H192" s="65"/>
      <c r="I192" s="17"/>
      <c r="J192" s="39">
        <f t="shared" si="17"/>
        <v>0</v>
      </c>
      <c r="K192" s="40">
        <f t="shared" si="19"/>
        <v>0</v>
      </c>
    </row>
    <row r="193" spans="1:13" ht="20.149999999999999" customHeight="1" x14ac:dyDescent="0.35">
      <c r="A193" s="17"/>
      <c r="B193" s="15"/>
      <c r="C193" s="15"/>
      <c r="D193" s="15"/>
      <c r="E193" s="15"/>
      <c r="F193" s="63" t="e">
        <f>#REF!</f>
        <v>#REF!</v>
      </c>
      <c r="G193" s="64" t="e">
        <f>#REF!</f>
        <v>#REF!</v>
      </c>
      <c r="H193" s="65"/>
      <c r="I193" s="17"/>
      <c r="J193" s="39" t="e">
        <f t="shared" si="17"/>
        <v>#REF!</v>
      </c>
      <c r="K193" s="40" t="e">
        <f t="shared" si="19"/>
        <v>#REF!</v>
      </c>
    </row>
    <row r="194" spans="1:13" ht="20.149999999999999" customHeight="1" x14ac:dyDescent="0.35">
      <c r="A194" s="17"/>
      <c r="B194" s="15"/>
      <c r="C194" s="15"/>
      <c r="D194" s="15"/>
      <c r="E194" s="15"/>
      <c r="F194" s="63" t="e">
        <f>#REF!</f>
        <v>#REF!</v>
      </c>
      <c r="G194" s="64" t="e">
        <f>#REF!</f>
        <v>#REF!</v>
      </c>
      <c r="H194" s="65"/>
      <c r="I194" s="17"/>
      <c r="J194" s="39" t="e">
        <f t="shared" si="17"/>
        <v>#REF!</v>
      </c>
      <c r="K194" s="40" t="e">
        <f t="shared" si="19"/>
        <v>#REF!</v>
      </c>
    </row>
    <row r="195" spans="1:13" ht="20.149999999999999" customHeight="1" x14ac:dyDescent="0.35">
      <c r="A195" s="17"/>
      <c r="B195" s="15"/>
      <c r="C195" s="15"/>
      <c r="D195" s="15"/>
      <c r="E195" s="15"/>
      <c r="F195" s="63" t="e">
        <f>#REF!</f>
        <v>#REF!</v>
      </c>
      <c r="G195" s="64" t="e">
        <f>#REF!</f>
        <v>#REF!</v>
      </c>
      <c r="H195" s="65"/>
      <c r="I195" s="17"/>
      <c r="J195" s="39" t="e">
        <f t="shared" si="17"/>
        <v>#REF!</v>
      </c>
      <c r="K195" s="40" t="e">
        <f t="shared" si="19"/>
        <v>#REF!</v>
      </c>
    </row>
    <row r="196" spans="1:13" ht="20.149999999999999" customHeight="1" x14ac:dyDescent="0.35">
      <c r="A196" s="17"/>
      <c r="B196" s="15"/>
      <c r="C196" s="15"/>
      <c r="D196" s="15"/>
      <c r="E196" s="15"/>
      <c r="F196" s="63" t="e">
        <f>#REF!</f>
        <v>#REF!</v>
      </c>
      <c r="G196" s="64" t="e">
        <f>#REF!</f>
        <v>#REF!</v>
      </c>
      <c r="H196" s="65"/>
      <c r="I196" s="17"/>
      <c r="J196" s="39" t="e">
        <f t="shared" si="17"/>
        <v>#REF!</v>
      </c>
      <c r="K196" s="40" t="e">
        <f t="shared" si="19"/>
        <v>#REF!</v>
      </c>
    </row>
    <row r="197" spans="1:13" ht="20.149999999999999" customHeight="1" thickBot="1" x14ac:dyDescent="0.4">
      <c r="A197" s="33"/>
      <c r="B197" s="32"/>
      <c r="C197" s="32"/>
      <c r="D197" s="32"/>
      <c r="E197" s="32"/>
      <c r="F197" s="71" t="e">
        <f>#REF!</f>
        <v>#REF!</v>
      </c>
      <c r="G197" s="72" t="e">
        <f>#REF!</f>
        <v>#REF!</v>
      </c>
      <c r="H197" s="73"/>
      <c r="I197" s="33"/>
      <c r="J197" s="74" t="e">
        <f t="shared" si="17"/>
        <v>#REF!</v>
      </c>
      <c r="K197" s="75" t="e">
        <f t="shared" si="19"/>
        <v>#REF!</v>
      </c>
    </row>
    <row r="198" spans="1:13" ht="20.149999999999999" customHeight="1" thickBot="1" x14ac:dyDescent="0.6">
      <c r="A198" s="109" t="s">
        <v>9</v>
      </c>
      <c r="B198" s="110"/>
      <c r="C198" s="110"/>
      <c r="D198" s="110"/>
      <c r="E198" s="110"/>
      <c r="F198" s="110"/>
      <c r="G198" s="110"/>
      <c r="H198" s="110"/>
      <c r="I198" s="111"/>
      <c r="J198" s="87">
        <v>409.95678002576386</v>
      </c>
      <c r="K198" s="88"/>
    </row>
    <row r="199" spans="1:13" ht="20.149999999999999" customHeight="1" thickBot="1" x14ac:dyDescent="0.6">
      <c r="A199" s="109" t="s">
        <v>27</v>
      </c>
      <c r="B199" s="110"/>
      <c r="C199" s="110"/>
      <c r="D199" s="110"/>
      <c r="E199" s="110"/>
      <c r="F199" s="110"/>
      <c r="G199" s="110"/>
      <c r="H199" s="110"/>
      <c r="I199" s="111"/>
      <c r="J199" s="89">
        <v>0</v>
      </c>
      <c r="K199" s="90"/>
    </row>
    <row r="200" spans="1:13" ht="24" thickBot="1" x14ac:dyDescent="0.6">
      <c r="A200" s="109" t="s">
        <v>55</v>
      </c>
      <c r="B200" s="110"/>
      <c r="C200" s="110"/>
      <c r="D200" s="110"/>
      <c r="E200" s="110"/>
      <c r="F200" s="110"/>
      <c r="G200" s="110"/>
      <c r="H200" s="110"/>
      <c r="I200" s="111"/>
      <c r="J200" s="89">
        <v>0</v>
      </c>
      <c r="K200" s="90"/>
    </row>
    <row r="201" spans="1:13" ht="24" thickBot="1" x14ac:dyDescent="0.6">
      <c r="A201" s="109" t="s">
        <v>11</v>
      </c>
      <c r="B201" s="110"/>
      <c r="C201" s="110"/>
      <c r="D201" s="110"/>
      <c r="E201" s="110"/>
      <c r="F201" s="110"/>
      <c r="G201" s="110"/>
      <c r="H201" s="110"/>
      <c r="I201" s="111"/>
      <c r="J201" s="87" t="e">
        <f>SUM(J161:J172)+SUM(J181:J192)</f>
        <v>#REF!</v>
      </c>
      <c r="K201" s="88"/>
    </row>
    <row r="202" spans="1:13" ht="24" customHeight="1" thickBot="1" x14ac:dyDescent="0.6">
      <c r="A202" s="109" t="s">
        <v>28</v>
      </c>
      <c r="B202" s="110"/>
      <c r="C202" s="110"/>
      <c r="D202" s="110"/>
      <c r="E202" s="110"/>
      <c r="F202" s="110"/>
      <c r="G202" s="110"/>
      <c r="H202" s="110"/>
      <c r="I202" s="111"/>
      <c r="J202" s="165">
        <v>348.25</v>
      </c>
      <c r="K202" s="166"/>
    </row>
    <row r="203" spans="1:13" ht="24" thickBot="1" x14ac:dyDescent="0.6">
      <c r="A203" s="109" t="s">
        <v>29</v>
      </c>
      <c r="B203" s="110"/>
      <c r="C203" s="110"/>
      <c r="D203" s="110"/>
      <c r="E203" s="110"/>
      <c r="F203" s="110"/>
      <c r="G203" s="110"/>
      <c r="H203" s="110"/>
      <c r="I203" s="111"/>
      <c r="J203" s="87" t="e">
        <f>J198+J199+J200-J201</f>
        <v>#REF!</v>
      </c>
      <c r="K203" s="88"/>
    </row>
    <row r="204" spans="1:13" ht="24" thickBot="1" x14ac:dyDescent="0.6">
      <c r="A204" s="109" t="s">
        <v>30</v>
      </c>
      <c r="B204" s="110"/>
      <c r="C204" s="110"/>
      <c r="D204" s="110"/>
      <c r="E204" s="110"/>
      <c r="F204" s="110"/>
      <c r="G204" s="110"/>
      <c r="H204" s="110"/>
      <c r="I204" s="111"/>
      <c r="J204" s="112" t="e">
        <f>J203/J202</f>
        <v>#REF!</v>
      </c>
      <c r="K204" s="113"/>
      <c r="L204" s="3"/>
      <c r="M204" s="2"/>
    </row>
    <row r="205" spans="1:13" ht="24" thickBot="1" x14ac:dyDescent="0.6">
      <c r="A205" s="85" t="s">
        <v>56</v>
      </c>
      <c r="B205" s="85"/>
      <c r="C205" s="85"/>
      <c r="D205" s="85"/>
      <c r="E205" s="85"/>
      <c r="F205" s="85"/>
      <c r="G205" s="85"/>
      <c r="H205" s="85"/>
      <c r="I205" s="86"/>
      <c r="J205" s="112" t="e">
        <f>((H223+H224+H226-J201)/H225)</f>
        <v>#REF!</v>
      </c>
      <c r="K205" s="113"/>
      <c r="L205" s="3"/>
      <c r="M205" s="2"/>
    </row>
    <row r="206" spans="1:13" ht="24" thickBot="1" x14ac:dyDescent="0.6">
      <c r="A206" s="160" t="s">
        <v>31</v>
      </c>
      <c r="B206" s="161"/>
      <c r="C206" s="161"/>
      <c r="D206" s="161"/>
      <c r="E206" s="161"/>
      <c r="F206" s="161"/>
      <c r="G206" s="161"/>
      <c r="H206" s="161"/>
      <c r="I206" s="162"/>
      <c r="J206" s="163">
        <v>4318.1256176473144</v>
      </c>
      <c r="K206" s="164"/>
      <c r="L206" s="3"/>
      <c r="M206" s="2"/>
    </row>
    <row r="207" spans="1:13" ht="24" thickBot="1" x14ac:dyDescent="0.6">
      <c r="A207" s="160" t="s">
        <v>32</v>
      </c>
      <c r="B207" s="161"/>
      <c r="C207" s="161"/>
      <c r="D207" s="161"/>
      <c r="E207" s="161"/>
      <c r="F207" s="161"/>
      <c r="G207" s="161"/>
      <c r="H207" s="161"/>
      <c r="I207" s="162"/>
      <c r="J207" s="163">
        <f>J57+J136+J199+J151</f>
        <v>0</v>
      </c>
      <c r="K207" s="164"/>
      <c r="L207" s="3"/>
      <c r="M207" s="2"/>
    </row>
    <row r="208" spans="1:13" ht="24" thickBot="1" x14ac:dyDescent="0.6">
      <c r="A208" s="160" t="s">
        <v>54</v>
      </c>
      <c r="B208" s="161"/>
      <c r="C208" s="161"/>
      <c r="D208" s="161"/>
      <c r="E208" s="161"/>
      <c r="F208" s="161"/>
      <c r="G208" s="161"/>
      <c r="H208" s="161"/>
      <c r="I208" s="162"/>
      <c r="J208" s="163">
        <f>J58+J137+J200+J152</f>
        <v>0</v>
      </c>
      <c r="K208" s="164"/>
      <c r="L208" s="3"/>
      <c r="M208" s="2"/>
    </row>
    <row r="209" spans="1:13" ht="24" thickBot="1" x14ac:dyDescent="0.6">
      <c r="A209" s="160" t="s">
        <v>33</v>
      </c>
      <c r="B209" s="161"/>
      <c r="C209" s="161"/>
      <c r="D209" s="161"/>
      <c r="E209" s="161"/>
      <c r="F209" s="161"/>
      <c r="G209" s="161"/>
      <c r="H209" s="161"/>
      <c r="I209" s="162"/>
      <c r="J209" s="163" t="e">
        <f>J59+J138+J201+J153</f>
        <v>#DIV/0!</v>
      </c>
      <c r="K209" s="164"/>
      <c r="L209" s="3"/>
      <c r="M209" s="2"/>
    </row>
    <row r="210" spans="1:13" ht="24" thickBot="1" x14ac:dyDescent="0.6">
      <c r="A210" s="160" t="s">
        <v>34</v>
      </c>
      <c r="B210" s="161"/>
      <c r="C210" s="161"/>
      <c r="D210" s="161"/>
      <c r="E210" s="161"/>
      <c r="F210" s="161"/>
      <c r="G210" s="161"/>
      <c r="H210" s="161"/>
      <c r="I210" s="162"/>
      <c r="J210" s="163">
        <f>J60+J139+J202+J154</f>
        <v>3485.75</v>
      </c>
      <c r="K210" s="164"/>
      <c r="L210" s="3"/>
      <c r="M210" s="2"/>
    </row>
    <row r="211" spans="1:13" ht="24" thickBot="1" x14ac:dyDescent="0.6">
      <c r="A211" s="160" t="s">
        <v>35</v>
      </c>
      <c r="B211" s="161"/>
      <c r="C211" s="161"/>
      <c r="D211" s="161"/>
      <c r="E211" s="161"/>
      <c r="F211" s="161"/>
      <c r="G211" s="161"/>
      <c r="H211" s="161"/>
      <c r="I211" s="162"/>
      <c r="J211" s="163" t="e">
        <f>J206+J207+J208-J209</f>
        <v>#DIV/0!</v>
      </c>
      <c r="K211" s="164"/>
      <c r="L211" s="3"/>
      <c r="M211" s="2"/>
    </row>
    <row r="212" spans="1:13" ht="24" thickBot="1" x14ac:dyDescent="0.6">
      <c r="A212" s="160" t="s">
        <v>36</v>
      </c>
      <c r="B212" s="161"/>
      <c r="C212" s="161"/>
      <c r="D212" s="161"/>
      <c r="E212" s="161"/>
      <c r="F212" s="161"/>
      <c r="G212" s="161"/>
      <c r="H212" s="161"/>
      <c r="I212" s="162"/>
      <c r="J212" s="167" t="e">
        <f>J211/J210</f>
        <v>#DIV/0!</v>
      </c>
      <c r="K212" s="168"/>
      <c r="L212" s="3"/>
      <c r="M212" s="2"/>
    </row>
    <row r="213" spans="1:13" ht="24" thickBot="1" x14ac:dyDescent="0.6">
      <c r="A213" s="169" t="s">
        <v>57</v>
      </c>
      <c r="B213" s="170"/>
      <c r="C213" s="170"/>
      <c r="D213" s="170"/>
      <c r="E213" s="170"/>
      <c r="F213" s="170"/>
      <c r="G213" s="170"/>
      <c r="H213" s="170"/>
      <c r="I213" s="171"/>
      <c r="J213" s="172" t="e">
        <f>((K223+K224+K226-J209))/K225</f>
        <v>#DIV/0!</v>
      </c>
      <c r="K213" s="173"/>
      <c r="L213" s="3"/>
      <c r="M213" s="2"/>
    </row>
    <row r="214" spans="1:13" ht="24" thickBot="1" x14ac:dyDescent="0.6">
      <c r="A214" s="190" t="s">
        <v>37</v>
      </c>
      <c r="B214" s="191"/>
      <c r="C214" s="191"/>
      <c r="D214" s="191"/>
      <c r="E214" s="191"/>
      <c r="F214" s="191"/>
      <c r="G214" s="191"/>
      <c r="H214" s="191"/>
      <c r="I214" s="191"/>
      <c r="J214" s="191"/>
      <c r="K214" s="192"/>
      <c r="L214" s="3"/>
      <c r="M214" s="2"/>
    </row>
    <row r="215" spans="1:13" ht="15" thickBot="1" x14ac:dyDescent="0.4">
      <c r="A215" s="193" t="s">
        <v>8</v>
      </c>
      <c r="B215" s="194"/>
      <c r="C215" s="194"/>
      <c r="D215" s="194"/>
      <c r="E215" s="195"/>
      <c r="F215" s="20" t="s">
        <v>38</v>
      </c>
      <c r="G215" s="19" t="s">
        <v>42</v>
      </c>
      <c r="H215" s="19" t="s">
        <v>43</v>
      </c>
      <c r="I215" s="19" t="s">
        <v>47</v>
      </c>
      <c r="J215" s="21" t="s">
        <v>46</v>
      </c>
      <c r="K215" s="21" t="s">
        <v>71</v>
      </c>
      <c r="L215" s="3"/>
      <c r="M215" s="2"/>
    </row>
    <row r="216" spans="1:13" x14ac:dyDescent="0.35">
      <c r="A216" s="196" t="s">
        <v>39</v>
      </c>
      <c r="B216" s="197"/>
      <c r="C216" s="197"/>
      <c r="D216" s="197"/>
      <c r="E216" s="198"/>
      <c r="F216" s="22">
        <v>70</v>
      </c>
      <c r="G216" s="46" t="s">
        <v>38</v>
      </c>
      <c r="H216" s="23"/>
      <c r="I216" s="24">
        <v>1</v>
      </c>
      <c r="J216" s="24">
        <v>13</v>
      </c>
      <c r="K216" s="25">
        <v>40</v>
      </c>
      <c r="L216" s="3"/>
      <c r="M216" s="2"/>
    </row>
    <row r="217" spans="1:13" ht="15" thickBot="1" x14ac:dyDescent="0.4">
      <c r="A217" s="199" t="s">
        <v>40</v>
      </c>
      <c r="B217" s="200"/>
      <c r="C217" s="200"/>
      <c r="D217" s="200"/>
      <c r="E217" s="201"/>
      <c r="F217" s="26">
        <v>36</v>
      </c>
      <c r="G217" s="47" t="s">
        <v>52</v>
      </c>
      <c r="H217" s="185" t="e">
        <f>(H216*34)+(I216*17)+(J216*8)+(K216*6)-((SUM(K161:K171))+(SUM(K181:K189)))</f>
        <v>#REF!</v>
      </c>
      <c r="I217" s="186"/>
      <c r="J217" s="186"/>
      <c r="K217" s="187"/>
      <c r="L217" s="3"/>
    </row>
    <row r="218" spans="1:13" ht="15" thickBot="1" x14ac:dyDescent="0.4">
      <c r="A218" s="199" t="s">
        <v>41</v>
      </c>
      <c r="B218" s="200"/>
      <c r="C218" s="200"/>
      <c r="D218" s="200"/>
      <c r="E218" s="201"/>
      <c r="F218" s="26">
        <v>0</v>
      </c>
      <c r="G218" s="202" t="s">
        <v>45</v>
      </c>
      <c r="H218" s="203"/>
      <c r="I218" s="203"/>
      <c r="J218" s="203"/>
      <c r="K218" s="204"/>
      <c r="L218" s="3"/>
    </row>
    <row r="219" spans="1:13" x14ac:dyDescent="0.35">
      <c r="A219" s="174" t="s">
        <v>48</v>
      </c>
      <c r="B219" s="175"/>
      <c r="C219" s="175"/>
      <c r="D219" s="175"/>
      <c r="E219" s="176"/>
      <c r="F219" s="180" t="e">
        <f>(F216+(F217*2)+(F218*3))-(SUM(K5:K37))</f>
        <v>#DIV/0!</v>
      </c>
      <c r="G219" s="46" t="s">
        <v>38</v>
      </c>
      <c r="H219" s="182">
        <v>287</v>
      </c>
      <c r="I219" s="183"/>
      <c r="J219" s="183"/>
      <c r="K219" s="184"/>
      <c r="L219" s="3"/>
    </row>
    <row r="220" spans="1:13" ht="15" thickBot="1" x14ac:dyDescent="0.4">
      <c r="A220" s="177"/>
      <c r="B220" s="178"/>
      <c r="C220" s="178"/>
      <c r="D220" s="178"/>
      <c r="E220" s="179"/>
      <c r="F220" s="181"/>
      <c r="G220" s="47" t="s">
        <v>52</v>
      </c>
      <c r="H220" s="185">
        <f>H219-(SUM(K109:K134))</f>
        <v>-404</v>
      </c>
      <c r="I220" s="186"/>
      <c r="J220" s="186"/>
      <c r="K220" s="187"/>
      <c r="L220" s="3"/>
    </row>
    <row r="221" spans="1:13" x14ac:dyDescent="0.35">
      <c r="A221" s="188"/>
      <c r="B221" s="188"/>
      <c r="C221" s="188"/>
      <c r="D221" s="188"/>
      <c r="E221" s="188"/>
      <c r="F221" s="10"/>
      <c r="H221" s="189"/>
      <c r="I221" s="189"/>
      <c r="J221" s="189"/>
      <c r="K221" s="189"/>
      <c r="L221" s="3"/>
    </row>
    <row r="222" spans="1:13" x14ac:dyDescent="0.35">
      <c r="A222" s="208"/>
      <c r="B222" s="208"/>
      <c r="C222" s="208"/>
      <c r="D222" s="208"/>
      <c r="E222" s="208"/>
      <c r="F222" s="11" t="s">
        <v>8</v>
      </c>
      <c r="G222" s="11" t="s">
        <v>49</v>
      </c>
      <c r="H222" s="209" t="s">
        <v>50</v>
      </c>
      <c r="I222" s="209"/>
      <c r="J222" t="s">
        <v>61</v>
      </c>
      <c r="K222" t="s">
        <v>51</v>
      </c>
      <c r="L222" s="3"/>
    </row>
    <row r="223" spans="1:13" x14ac:dyDescent="0.35">
      <c r="A223" s="205" t="s">
        <v>9</v>
      </c>
      <c r="B223" s="205"/>
      <c r="C223" s="205"/>
      <c r="D223" s="205"/>
      <c r="E223" s="205"/>
      <c r="F223" s="12">
        <f>J56</f>
        <v>1713.9906492157534</v>
      </c>
      <c r="G223" s="12">
        <f>J135</f>
        <v>1757.8899999999999</v>
      </c>
      <c r="H223" s="206">
        <f>J198</f>
        <v>409.95678002576386</v>
      </c>
      <c r="I223" s="206"/>
      <c r="J223" s="49">
        <f>J150</f>
        <v>436.28818840579714</v>
      </c>
      <c r="K223" s="13">
        <f>SUM(F223:J223)</f>
        <v>4318.1256176473144</v>
      </c>
      <c r="L223" s="3"/>
    </row>
    <row r="224" spans="1:13" x14ac:dyDescent="0.35">
      <c r="A224" s="205" t="s">
        <v>58</v>
      </c>
      <c r="B224" s="205"/>
      <c r="C224" s="205"/>
      <c r="D224" s="205"/>
      <c r="E224" s="205"/>
      <c r="F224" s="12">
        <f>J57</f>
        <v>0</v>
      </c>
      <c r="G224" s="12">
        <f>J136</f>
        <v>0</v>
      </c>
      <c r="H224" s="206">
        <f>J199</f>
        <v>0</v>
      </c>
      <c r="I224" s="206"/>
      <c r="J224" s="49">
        <f>J151</f>
        <v>0</v>
      </c>
      <c r="K224" s="13">
        <f>SUM(F224:J224)</f>
        <v>0</v>
      </c>
      <c r="L224" s="3"/>
    </row>
    <row r="225" spans="1:16" x14ac:dyDescent="0.35">
      <c r="A225" s="205" t="s">
        <v>59</v>
      </c>
      <c r="B225" s="205"/>
      <c r="C225" s="205"/>
      <c r="D225" s="205"/>
      <c r="E225" s="205"/>
      <c r="F225" s="12">
        <f>J60</f>
        <v>798.75</v>
      </c>
      <c r="G225" s="12">
        <f>J139</f>
        <v>1739.25</v>
      </c>
      <c r="H225" s="206">
        <f>J202</f>
        <v>348.25</v>
      </c>
      <c r="I225" s="206"/>
      <c r="J225" s="49">
        <f>J154</f>
        <v>599.5</v>
      </c>
      <c r="K225" s="13">
        <f>SUM(F225:J225)</f>
        <v>3485.75</v>
      </c>
      <c r="L225" s="3"/>
    </row>
    <row r="226" spans="1:16" x14ac:dyDescent="0.35">
      <c r="A226" s="205" t="s">
        <v>60</v>
      </c>
      <c r="B226" s="205"/>
      <c r="C226" s="205"/>
      <c r="D226" s="205"/>
      <c r="E226" s="205"/>
      <c r="F226" s="48">
        <f>J58</f>
        <v>0</v>
      </c>
      <c r="G226" s="49">
        <f>J137</f>
        <v>0</v>
      </c>
      <c r="H226" s="207">
        <f>J200</f>
        <v>0</v>
      </c>
      <c r="I226" s="207"/>
      <c r="J226" s="49">
        <f>J152</f>
        <v>0</v>
      </c>
      <c r="K226" s="49">
        <f>SUM(F226:J226)</f>
        <v>0</v>
      </c>
      <c r="L226" s="3"/>
    </row>
    <row r="227" spans="1:16" x14ac:dyDescent="0.35">
      <c r="A227" s="205"/>
      <c r="B227" s="205"/>
      <c r="C227" s="205"/>
      <c r="D227" s="205"/>
      <c r="E227" s="205"/>
      <c r="F227" s="10"/>
      <c r="J227" s="8"/>
      <c r="L227" s="3"/>
    </row>
    <row r="228" spans="1:16" x14ac:dyDescent="0.35">
      <c r="A228" s="205"/>
      <c r="B228" s="205"/>
      <c r="C228" s="205"/>
      <c r="D228" s="205"/>
      <c r="E228" s="205"/>
      <c r="F228" s="10"/>
      <c r="J228" s="8"/>
      <c r="L228" s="3"/>
    </row>
    <row r="229" spans="1:16" x14ac:dyDescent="0.35">
      <c r="A229" s="208"/>
      <c r="B229" s="208"/>
      <c r="C229" s="208"/>
      <c r="D229" s="208"/>
      <c r="E229" s="208"/>
      <c r="F229" s="7"/>
      <c r="J229" s="8"/>
      <c r="L229" s="3"/>
    </row>
    <row r="230" spans="1:16" x14ac:dyDescent="0.35">
      <c r="A230" s="205"/>
      <c r="B230" s="205"/>
      <c r="C230" s="205"/>
      <c r="D230" s="205"/>
      <c r="E230" s="205"/>
      <c r="F230" s="10"/>
      <c r="J230" s="8"/>
      <c r="L230" s="2"/>
    </row>
    <row r="231" spans="1:16" x14ac:dyDescent="0.35">
      <c r="A231" s="205"/>
      <c r="B231" s="205"/>
      <c r="C231" s="205"/>
      <c r="D231" s="205"/>
      <c r="E231" s="205"/>
      <c r="F231" s="10"/>
      <c r="J231" s="8"/>
      <c r="L231" s="2"/>
    </row>
    <row r="232" spans="1:16" x14ac:dyDescent="0.35">
      <c r="A232" s="205"/>
      <c r="B232" s="205"/>
      <c r="C232" s="205"/>
      <c r="D232" s="205"/>
      <c r="E232" s="205"/>
      <c r="F232" s="10"/>
      <c r="J232" s="8"/>
      <c r="L232" s="2"/>
      <c r="M232" s="3"/>
      <c r="N232" s="4"/>
      <c r="O232" s="4"/>
      <c r="P232" s="4"/>
    </row>
    <row r="233" spans="1:16" x14ac:dyDescent="0.35">
      <c r="A233" s="205"/>
      <c r="B233" s="205"/>
      <c r="C233" s="205"/>
      <c r="D233" s="205"/>
      <c r="E233" s="205"/>
      <c r="F233" s="10"/>
      <c r="J233" s="8"/>
      <c r="L233" s="2"/>
    </row>
    <row r="234" spans="1:16" x14ac:dyDescent="0.35">
      <c r="A234" s="205"/>
      <c r="B234" s="205"/>
      <c r="C234" s="205"/>
      <c r="D234" s="205"/>
      <c r="E234" s="205"/>
      <c r="F234" s="10"/>
      <c r="J234" s="8"/>
      <c r="L234" s="2"/>
      <c r="M234" s="3"/>
      <c r="N234" s="4"/>
      <c r="O234" s="4"/>
      <c r="P234" s="4"/>
    </row>
    <row r="235" spans="1:16" x14ac:dyDescent="0.35">
      <c r="A235" s="205"/>
      <c r="B235" s="205"/>
      <c r="C235" s="205"/>
      <c r="D235" s="205"/>
      <c r="E235" s="205"/>
      <c r="F235" s="10"/>
      <c r="J235" s="8"/>
      <c r="L235" s="2"/>
      <c r="M235" s="3"/>
      <c r="N235" s="4"/>
      <c r="O235" s="4"/>
      <c r="P235" s="4"/>
    </row>
    <row r="236" spans="1:16" x14ac:dyDescent="0.35">
      <c r="A236" s="208"/>
      <c r="B236" s="208"/>
      <c r="C236" s="208"/>
      <c r="D236" s="208"/>
      <c r="E236" s="208"/>
      <c r="F236" s="7"/>
      <c r="J236" s="8"/>
      <c r="L236" s="2"/>
      <c r="M236" s="3"/>
      <c r="N236" s="4"/>
      <c r="O236" s="4"/>
      <c r="P236" s="4"/>
    </row>
    <row r="237" spans="1:16" x14ac:dyDescent="0.35">
      <c r="A237" s="208"/>
      <c r="B237" s="208"/>
      <c r="C237" s="208"/>
      <c r="D237" s="208"/>
      <c r="E237" s="208"/>
      <c r="F237" s="7"/>
      <c r="J237" s="8"/>
      <c r="L237" s="2"/>
      <c r="M237" s="3"/>
      <c r="N237" s="4"/>
      <c r="O237" s="4"/>
      <c r="P237" s="4"/>
    </row>
    <row r="238" spans="1:16" x14ac:dyDescent="0.35">
      <c r="A238" s="6"/>
      <c r="B238" s="6"/>
      <c r="C238" s="6"/>
      <c r="D238" s="6"/>
      <c r="E238" s="6"/>
      <c r="F238" s="6"/>
      <c r="J238" s="8"/>
      <c r="L238" s="2"/>
      <c r="M238" s="3"/>
      <c r="N238" s="2"/>
      <c r="O238" s="4"/>
      <c r="P238" s="4"/>
    </row>
    <row r="239" spans="1:16" x14ac:dyDescent="0.35">
      <c r="A239" s="6"/>
      <c r="B239" s="6"/>
      <c r="C239" s="6"/>
      <c r="D239" s="6"/>
      <c r="E239" s="6"/>
      <c r="F239" s="6"/>
      <c r="J239" s="8"/>
      <c r="L239" s="4"/>
      <c r="M239" s="3"/>
      <c r="N239" s="2"/>
      <c r="O239" s="4"/>
      <c r="P239" s="4"/>
    </row>
    <row r="240" spans="1:16" x14ac:dyDescent="0.35">
      <c r="A240" s="6"/>
      <c r="B240" s="6"/>
      <c r="C240" s="6"/>
      <c r="D240" s="6"/>
      <c r="E240" s="6"/>
      <c r="F240" s="6"/>
      <c r="G240" s="9"/>
      <c r="H240" s="9"/>
      <c r="I240" s="9"/>
      <c r="J240" s="9"/>
      <c r="K240" s="9"/>
      <c r="L240" s="2"/>
      <c r="M240" s="3"/>
      <c r="N240" s="4"/>
      <c r="O240" s="4"/>
      <c r="P240" s="4"/>
    </row>
    <row r="241" spans="1:16" x14ac:dyDescent="0.35">
      <c r="A241" s="6"/>
      <c r="B241" s="6"/>
      <c r="C241" s="6"/>
      <c r="D241" s="6"/>
      <c r="E241" s="6"/>
      <c r="F241" s="6"/>
      <c r="G241" s="9"/>
      <c r="H241" s="9"/>
      <c r="I241" s="9"/>
      <c r="J241" s="9"/>
      <c r="K241" s="9"/>
      <c r="L241" s="2"/>
      <c r="M241" s="3"/>
      <c r="N241" s="2"/>
      <c r="O241" s="4"/>
      <c r="P241" s="4"/>
    </row>
    <row r="242" spans="1:16" x14ac:dyDescent="0.35">
      <c r="A242" s="6"/>
      <c r="B242" s="6"/>
      <c r="C242" s="6"/>
      <c r="D242" s="6"/>
      <c r="E242" s="6"/>
      <c r="F242" s="7"/>
      <c r="G242" s="6"/>
      <c r="H242" s="6"/>
      <c r="I242" s="6"/>
      <c r="J242" s="6"/>
      <c r="K242" s="7"/>
      <c r="L242" s="2"/>
      <c r="M242" s="3"/>
      <c r="N242" s="2"/>
      <c r="O242" s="4"/>
      <c r="P242" s="4"/>
    </row>
    <row r="243" spans="1:16" x14ac:dyDescent="0.35">
      <c r="F243" s="8"/>
      <c r="G243" s="8"/>
      <c r="H243" s="8"/>
      <c r="I243" s="8"/>
      <c r="J243" s="8"/>
      <c r="L243" s="2"/>
      <c r="M243" s="3"/>
      <c r="N243" s="2"/>
      <c r="O243" s="4"/>
      <c r="P243" s="4"/>
    </row>
    <row r="244" spans="1:16" x14ac:dyDescent="0.35">
      <c r="F244" s="8"/>
      <c r="G244" s="8"/>
      <c r="H244" s="8"/>
      <c r="I244" s="8"/>
      <c r="J244" s="8"/>
      <c r="L244" s="2"/>
      <c r="M244" s="3"/>
      <c r="N244" s="2"/>
      <c r="O244" s="4"/>
      <c r="P244" s="4"/>
    </row>
    <row r="245" spans="1:16" x14ac:dyDescent="0.35">
      <c r="F245" s="8"/>
      <c r="G245" s="8"/>
      <c r="H245" s="8"/>
      <c r="I245" s="8"/>
      <c r="J245" s="8"/>
      <c r="L245" s="4"/>
      <c r="M245" s="3"/>
      <c r="N245" s="4"/>
      <c r="O245" s="4"/>
      <c r="P245" s="4"/>
    </row>
    <row r="246" spans="1:16" x14ac:dyDescent="0.35">
      <c r="F246" s="8"/>
      <c r="G246" s="8"/>
      <c r="H246" s="8"/>
      <c r="I246" s="8"/>
      <c r="J246" s="8"/>
      <c r="L246" s="2"/>
      <c r="M246" s="3"/>
      <c r="N246" s="2"/>
      <c r="O246" s="4"/>
      <c r="P246" s="4"/>
    </row>
    <row r="247" spans="1:16" x14ac:dyDescent="0.35">
      <c r="F247" s="8"/>
      <c r="G247" s="8"/>
      <c r="H247" s="8"/>
      <c r="I247" s="8"/>
      <c r="J247" s="8"/>
      <c r="L247" s="2"/>
      <c r="M247" s="3"/>
      <c r="N247" s="2"/>
      <c r="O247" s="4"/>
      <c r="P247" s="4"/>
    </row>
    <row r="248" spans="1:16" x14ac:dyDescent="0.35">
      <c r="F248" s="8"/>
      <c r="G248" s="8"/>
      <c r="H248" s="8"/>
      <c r="I248" s="8"/>
      <c r="J248" s="8"/>
      <c r="L248" s="2"/>
      <c r="M248" s="3"/>
      <c r="N248" s="2"/>
      <c r="O248" s="4"/>
      <c r="P248" s="4"/>
    </row>
    <row r="249" spans="1:16" x14ac:dyDescent="0.35">
      <c r="F249" s="8"/>
      <c r="G249" s="8"/>
      <c r="H249" s="8"/>
      <c r="I249" s="8"/>
      <c r="J249" s="8"/>
      <c r="L249" s="2"/>
      <c r="M249" s="3"/>
      <c r="N249" s="2"/>
      <c r="O249" s="4"/>
      <c r="P249" s="4"/>
    </row>
    <row r="250" spans="1:16" x14ac:dyDescent="0.35">
      <c r="F250" s="8"/>
      <c r="G250" s="8"/>
      <c r="H250" s="8"/>
      <c r="I250" s="8"/>
      <c r="J250" s="8"/>
      <c r="L250" s="2"/>
      <c r="M250" s="3"/>
      <c r="N250" s="2"/>
      <c r="O250" s="4"/>
      <c r="P250" s="4"/>
    </row>
    <row r="251" spans="1:16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L251" s="2"/>
      <c r="M251" s="3"/>
      <c r="N251" s="2"/>
      <c r="O251" s="4"/>
      <c r="P251" s="4"/>
    </row>
    <row r="252" spans="1:16" x14ac:dyDescent="0.35">
      <c r="L252" s="2"/>
      <c r="M252" s="3"/>
      <c r="N252" s="2"/>
      <c r="O252" s="4"/>
      <c r="P252" s="4"/>
    </row>
    <row r="253" spans="1:16" x14ac:dyDescent="0.35">
      <c r="L253" s="2"/>
      <c r="M253" s="3"/>
      <c r="N253" s="2"/>
      <c r="O253" s="4"/>
      <c r="P253" s="4"/>
    </row>
    <row r="254" spans="1:16" x14ac:dyDescent="0.35">
      <c r="L254" s="2"/>
      <c r="M254" s="3"/>
      <c r="N254" s="2"/>
      <c r="O254" s="4"/>
      <c r="P254" s="5"/>
    </row>
  </sheetData>
  <sheetProtection selectLockedCells="1" selectUnlockedCells="1"/>
  <mergeCells count="185">
    <mergeCell ref="A1:K1"/>
    <mergeCell ref="A2:A3"/>
    <mergeCell ref="B2:E2"/>
    <mergeCell ref="F2:F3"/>
    <mergeCell ref="G2:G3"/>
    <mergeCell ref="H2:H3"/>
    <mergeCell ref="I2:I3"/>
    <mergeCell ref="J2:J3"/>
    <mergeCell ref="K2:K3"/>
    <mergeCell ref="A38:K38"/>
    <mergeCell ref="A44:K44"/>
    <mergeCell ref="A56:I56"/>
    <mergeCell ref="J56:K56"/>
    <mergeCell ref="A57:I57"/>
    <mergeCell ref="J57:K57"/>
    <mergeCell ref="A4:K4"/>
    <mergeCell ref="A9:K9"/>
    <mergeCell ref="A14:K14"/>
    <mergeCell ref="A22:K22"/>
    <mergeCell ref="A25:K25"/>
    <mergeCell ref="A31:K31"/>
    <mergeCell ref="A61:I61"/>
    <mergeCell ref="J61:K61"/>
    <mergeCell ref="A62:I62"/>
    <mergeCell ref="J62:K62"/>
    <mergeCell ref="A63:I63"/>
    <mergeCell ref="J63:K63"/>
    <mergeCell ref="A58:I58"/>
    <mergeCell ref="J58:K58"/>
    <mergeCell ref="A59:I59"/>
    <mergeCell ref="J59:K59"/>
    <mergeCell ref="A60:I60"/>
    <mergeCell ref="J60:K60"/>
    <mergeCell ref="J64:J65"/>
    <mergeCell ref="K64:K65"/>
    <mergeCell ref="A66:K66"/>
    <mergeCell ref="A97:I97"/>
    <mergeCell ref="J97:K97"/>
    <mergeCell ref="A98:I98"/>
    <mergeCell ref="J98:K98"/>
    <mergeCell ref="A64:A65"/>
    <mergeCell ref="B64:E64"/>
    <mergeCell ref="F64:F65"/>
    <mergeCell ref="G64:G65"/>
    <mergeCell ref="H64:H65"/>
    <mergeCell ref="I64:I65"/>
    <mergeCell ref="A102:I102"/>
    <mergeCell ref="J102:K102"/>
    <mergeCell ref="A103:I103"/>
    <mergeCell ref="J103:K103"/>
    <mergeCell ref="A104:I104"/>
    <mergeCell ref="J104:K104"/>
    <mergeCell ref="A99:I99"/>
    <mergeCell ref="J99:K99"/>
    <mergeCell ref="A100:I100"/>
    <mergeCell ref="J100:K100"/>
    <mergeCell ref="A101:I101"/>
    <mergeCell ref="J101:K101"/>
    <mergeCell ref="J106:J107"/>
    <mergeCell ref="K106:K107"/>
    <mergeCell ref="A108:K108"/>
    <mergeCell ref="A125:K125"/>
    <mergeCell ref="A135:I135"/>
    <mergeCell ref="J135:K135"/>
    <mergeCell ref="A106:A107"/>
    <mergeCell ref="B106:E106"/>
    <mergeCell ref="F106:F107"/>
    <mergeCell ref="G106:G107"/>
    <mergeCell ref="H106:H107"/>
    <mergeCell ref="I106:I107"/>
    <mergeCell ref="A139:I139"/>
    <mergeCell ref="J139:K139"/>
    <mergeCell ref="A140:I140"/>
    <mergeCell ref="J140:K140"/>
    <mergeCell ref="A141:I141"/>
    <mergeCell ref="J141:K141"/>
    <mergeCell ref="A136:I136"/>
    <mergeCell ref="J136:K136"/>
    <mergeCell ref="A137:I137"/>
    <mergeCell ref="J137:K137"/>
    <mergeCell ref="A138:I138"/>
    <mergeCell ref="J138:K138"/>
    <mergeCell ref="A142:I142"/>
    <mergeCell ref="J142:K142"/>
    <mergeCell ref="A143:A144"/>
    <mergeCell ref="B143:E143"/>
    <mergeCell ref="F143:F144"/>
    <mergeCell ref="G143:G144"/>
    <mergeCell ref="H143:H144"/>
    <mergeCell ref="I143:I144"/>
    <mergeCell ref="J143:J144"/>
    <mergeCell ref="K143:K144"/>
    <mergeCell ref="A153:I153"/>
    <mergeCell ref="J153:K153"/>
    <mergeCell ref="A154:I154"/>
    <mergeCell ref="J154:K154"/>
    <mergeCell ref="A155:I155"/>
    <mergeCell ref="J155:K155"/>
    <mergeCell ref="A145:K145"/>
    <mergeCell ref="A150:I150"/>
    <mergeCell ref="J150:K150"/>
    <mergeCell ref="A151:I151"/>
    <mergeCell ref="J151:K151"/>
    <mergeCell ref="A152:I152"/>
    <mergeCell ref="J152:K152"/>
    <mergeCell ref="A156:I156"/>
    <mergeCell ref="J156:K156"/>
    <mergeCell ref="A157:I157"/>
    <mergeCell ref="J157:K157"/>
    <mergeCell ref="A158:A159"/>
    <mergeCell ref="B158:E158"/>
    <mergeCell ref="F158:F159"/>
    <mergeCell ref="G158:G159"/>
    <mergeCell ref="H158:H159"/>
    <mergeCell ref="I158:I159"/>
    <mergeCell ref="A199:I199"/>
    <mergeCell ref="J199:K199"/>
    <mergeCell ref="A200:I200"/>
    <mergeCell ref="J200:K200"/>
    <mergeCell ref="A201:I201"/>
    <mergeCell ref="J201:K201"/>
    <mergeCell ref="J158:J159"/>
    <mergeCell ref="K158:K159"/>
    <mergeCell ref="A160:K160"/>
    <mergeCell ref="A180:K180"/>
    <mergeCell ref="A198:I198"/>
    <mergeCell ref="J198:K198"/>
    <mergeCell ref="A205:I205"/>
    <mergeCell ref="J205:K205"/>
    <mergeCell ref="A206:I206"/>
    <mergeCell ref="J206:K206"/>
    <mergeCell ref="A207:I207"/>
    <mergeCell ref="J207:K207"/>
    <mergeCell ref="A202:I202"/>
    <mergeCell ref="J202:K202"/>
    <mergeCell ref="A203:I203"/>
    <mergeCell ref="J203:K203"/>
    <mergeCell ref="A204:I204"/>
    <mergeCell ref="J204:K204"/>
    <mergeCell ref="A211:I211"/>
    <mergeCell ref="J211:K211"/>
    <mergeCell ref="A212:I212"/>
    <mergeCell ref="J212:K212"/>
    <mergeCell ref="A213:I213"/>
    <mergeCell ref="J213:K213"/>
    <mergeCell ref="A208:I208"/>
    <mergeCell ref="J208:K208"/>
    <mergeCell ref="A209:I209"/>
    <mergeCell ref="J209:K209"/>
    <mergeCell ref="A210:I210"/>
    <mergeCell ref="J210:K210"/>
    <mergeCell ref="A219:E220"/>
    <mergeCell ref="F219:F220"/>
    <mergeCell ref="H219:K219"/>
    <mergeCell ref="H220:K220"/>
    <mergeCell ref="A221:E221"/>
    <mergeCell ref="H221:K221"/>
    <mergeCell ref="A214:K214"/>
    <mergeCell ref="A215:E215"/>
    <mergeCell ref="A216:E216"/>
    <mergeCell ref="A217:E217"/>
    <mergeCell ref="H217:K217"/>
    <mergeCell ref="A218:E218"/>
    <mergeCell ref="G218:K218"/>
    <mergeCell ref="A225:E225"/>
    <mergeCell ref="H225:I225"/>
    <mergeCell ref="A226:E226"/>
    <mergeCell ref="H226:I226"/>
    <mergeCell ref="A227:E227"/>
    <mergeCell ref="A228:E228"/>
    <mergeCell ref="A222:E222"/>
    <mergeCell ref="H222:I222"/>
    <mergeCell ref="A223:E223"/>
    <mergeCell ref="H223:I223"/>
    <mergeCell ref="A224:E224"/>
    <mergeCell ref="H224:I224"/>
    <mergeCell ref="A235:E235"/>
    <mergeCell ref="A236:E236"/>
    <mergeCell ref="A237:E237"/>
    <mergeCell ref="A229:E229"/>
    <mergeCell ref="A230:E230"/>
    <mergeCell ref="A231:E231"/>
    <mergeCell ref="A232:E232"/>
    <mergeCell ref="A233:E233"/>
    <mergeCell ref="A234:E234"/>
  </mergeCells>
  <conditionalFormatting sqref="L229:L236 M232:O232 M234:O236 P254">
    <cfRule type="cellIs" dxfId="6" priority="1" stopIfTrue="1" operator="lessThan">
      <formula>0</formula>
    </cfRule>
  </conditionalFormatting>
  <pageMargins left="0.28000000000000003" right="0.09" top="0.26" bottom="0.25" header="0.25" footer="0.25"/>
  <pageSetup orientation="portrait" blackAndWhite="1" r:id="rId1"/>
  <rowBreaks count="2" manualBreakCount="2">
    <brk id="105" max="10" man="1"/>
    <brk id="15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5F07D-3CBD-4805-888C-917868F618DC}">
  <dimension ref="A1:R254"/>
  <sheetViews>
    <sheetView zoomScale="98" zoomScaleNormal="98" workbookViewId="0">
      <selection sqref="A1:K1"/>
    </sheetView>
  </sheetViews>
  <sheetFormatPr defaultRowHeight="14.5" x14ac:dyDescent="0.35"/>
  <cols>
    <col min="1" max="5" width="5.7265625" customWidth="1"/>
    <col min="6" max="6" width="32" customWidth="1"/>
    <col min="7" max="7" width="10.54296875" customWidth="1"/>
    <col min="8" max="8" width="8.54296875" customWidth="1"/>
    <col min="9" max="9" width="8.7265625" customWidth="1"/>
    <col min="10" max="11" width="10.54296875" customWidth="1"/>
  </cols>
  <sheetData>
    <row r="1" spans="1:18" ht="15" thickBot="1" x14ac:dyDescent="0.4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6"/>
      <c r="R1" s="8"/>
    </row>
    <row r="2" spans="1:18" x14ac:dyDescent="0.35">
      <c r="A2" s="117" t="s">
        <v>0</v>
      </c>
      <c r="B2" s="119" t="s">
        <v>1</v>
      </c>
      <c r="C2" s="119"/>
      <c r="D2" s="119"/>
      <c r="E2" s="119"/>
      <c r="F2" s="94" t="s">
        <v>2</v>
      </c>
      <c r="G2" s="120" t="s">
        <v>3</v>
      </c>
      <c r="H2" s="94" t="s">
        <v>4</v>
      </c>
      <c r="I2" s="94" t="s">
        <v>5</v>
      </c>
      <c r="J2" s="94" t="s">
        <v>6</v>
      </c>
      <c r="K2" s="96" t="s">
        <v>7</v>
      </c>
    </row>
    <row r="3" spans="1:18" x14ac:dyDescent="0.35">
      <c r="A3" s="118"/>
      <c r="B3" s="27">
        <v>1</v>
      </c>
      <c r="C3" s="27">
        <v>2</v>
      </c>
      <c r="D3" s="27">
        <v>3</v>
      </c>
      <c r="E3" s="27">
        <v>4</v>
      </c>
      <c r="F3" s="95"/>
      <c r="G3" s="121"/>
      <c r="H3" s="95"/>
      <c r="I3" s="95"/>
      <c r="J3" s="95"/>
      <c r="K3" s="97"/>
    </row>
    <row r="4" spans="1:18" s="1" customFormat="1" ht="20.149999999999999" customHeight="1" thickBot="1" x14ac:dyDescent="0.6">
      <c r="A4" s="127" t="s">
        <v>8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8" x14ac:dyDescent="0.35">
      <c r="A5" s="28">
        <v>33</v>
      </c>
      <c r="B5" s="60"/>
      <c r="C5" s="52"/>
      <c r="D5" s="52"/>
      <c r="E5" s="53"/>
      <c r="F5" s="79" t="s">
        <v>143</v>
      </c>
      <c r="G5" s="35">
        <v>47.35</v>
      </c>
      <c r="H5" s="36">
        <v>35.99</v>
      </c>
      <c r="I5" s="28">
        <f>47.05+44.5</f>
        <v>91.55</v>
      </c>
      <c r="J5" s="37">
        <f>(I5/G5)*H5</f>
        <v>69.585733896515308</v>
      </c>
      <c r="K5" s="38">
        <f>((SUM(A5:E5)/G5)-(I5/G5))*39</f>
        <v>-48.224920802534321</v>
      </c>
    </row>
    <row r="6" spans="1:18" x14ac:dyDescent="0.35">
      <c r="A6" s="17"/>
      <c r="B6" s="61"/>
      <c r="C6" s="15"/>
      <c r="D6" s="15"/>
      <c r="E6" s="54"/>
      <c r="F6" s="51" t="s">
        <v>152</v>
      </c>
      <c r="G6" s="35">
        <v>63.4</v>
      </c>
      <c r="H6" s="36">
        <v>46.99</v>
      </c>
      <c r="I6" s="17">
        <f>57.95</f>
        <v>57.95</v>
      </c>
      <c r="J6" s="37">
        <f t="shared" ref="J6:J55" si="0">(I6/G6)*H6</f>
        <v>42.950638801261839</v>
      </c>
      <c r="K6" s="38">
        <f>((SUM(A6:E6)/G6)-(I6/G6))*26</f>
        <v>-23.764984227129339</v>
      </c>
    </row>
    <row r="7" spans="1:18" x14ac:dyDescent="0.35">
      <c r="A7" s="17">
        <v>43.65</v>
      </c>
      <c r="B7" s="61"/>
      <c r="C7" s="15"/>
      <c r="D7" s="15"/>
      <c r="E7" s="54"/>
      <c r="F7" s="50" t="s">
        <v>144</v>
      </c>
      <c r="G7" s="35">
        <v>43.65</v>
      </c>
      <c r="H7" s="36">
        <v>33.99</v>
      </c>
      <c r="I7" s="17">
        <v>39.25</v>
      </c>
      <c r="J7" s="37">
        <f t="shared" si="0"/>
        <v>30.563745704467358</v>
      </c>
      <c r="K7" s="38">
        <f t="shared" ref="K7:K13" si="1">((SUM(A7:E7)/G7)-(I7/G7))*39</f>
        <v>3.9312714776632292</v>
      </c>
    </row>
    <row r="8" spans="1:18" x14ac:dyDescent="0.35">
      <c r="A8" s="17"/>
      <c r="B8" s="61"/>
      <c r="C8" s="15"/>
      <c r="D8" s="15"/>
      <c r="E8" s="54"/>
      <c r="F8" s="51"/>
      <c r="G8" s="35"/>
      <c r="H8" s="36"/>
      <c r="I8" s="17"/>
      <c r="J8" s="37" t="e">
        <f t="shared" si="0"/>
        <v>#DIV/0!</v>
      </c>
      <c r="K8" s="38" t="e">
        <f t="shared" si="1"/>
        <v>#DIV/0!</v>
      </c>
    </row>
    <row r="9" spans="1:18" x14ac:dyDescent="0.35">
      <c r="A9" s="135" t="s">
        <v>73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8" x14ac:dyDescent="0.35">
      <c r="A10" s="17">
        <v>19.100000000000001</v>
      </c>
      <c r="B10" s="61"/>
      <c r="C10" s="15"/>
      <c r="D10" s="15"/>
      <c r="E10" s="54"/>
      <c r="F10" s="51" t="s">
        <v>145</v>
      </c>
      <c r="G10" s="35">
        <v>39.200000000000003</v>
      </c>
      <c r="H10" s="36">
        <v>44.99</v>
      </c>
      <c r="I10" s="17">
        <v>19.05</v>
      </c>
      <c r="J10" s="37">
        <f t="shared" si="0"/>
        <v>21.863762755102041</v>
      </c>
      <c r="K10" s="38">
        <f t="shared" si="1"/>
        <v>4.9744897959185352E-2</v>
      </c>
    </row>
    <row r="11" spans="1:18" x14ac:dyDescent="0.35">
      <c r="A11" s="17">
        <v>33.25</v>
      </c>
      <c r="B11" s="61"/>
      <c r="C11" s="15"/>
      <c r="D11" s="15"/>
      <c r="E11" s="54"/>
      <c r="F11" s="51" t="s">
        <v>146</v>
      </c>
      <c r="G11" s="35">
        <v>38.200000000000003</v>
      </c>
      <c r="H11" s="36">
        <v>26.99</v>
      </c>
      <c r="I11" s="17">
        <v>33.299999999999997</v>
      </c>
      <c r="J11" s="37">
        <f t="shared" si="0"/>
        <v>23.52793193717277</v>
      </c>
      <c r="K11" s="38">
        <f t="shared" si="1"/>
        <v>-5.1047120418845515E-2</v>
      </c>
    </row>
    <row r="12" spans="1:18" x14ac:dyDescent="0.35">
      <c r="A12" s="17">
        <v>26.7</v>
      </c>
      <c r="B12" s="61"/>
      <c r="C12" s="15"/>
      <c r="D12" s="15"/>
      <c r="E12" s="54"/>
      <c r="F12" s="51" t="s">
        <v>147</v>
      </c>
      <c r="G12" s="35">
        <v>44.15</v>
      </c>
      <c r="H12" s="36">
        <v>56.99</v>
      </c>
      <c r="I12" s="17">
        <v>26.7</v>
      </c>
      <c r="J12" s="37">
        <f t="shared" si="0"/>
        <v>34.465073612684037</v>
      </c>
      <c r="K12" s="38">
        <f t="shared" si="1"/>
        <v>0</v>
      </c>
    </row>
    <row r="13" spans="1:18" x14ac:dyDescent="0.35">
      <c r="A13" s="17">
        <v>29.3</v>
      </c>
      <c r="B13" s="61"/>
      <c r="C13" s="15"/>
      <c r="D13" s="15"/>
      <c r="E13" s="54"/>
      <c r="F13" s="51" t="s">
        <v>148</v>
      </c>
      <c r="G13" s="35">
        <v>47.95</v>
      </c>
      <c r="H13" s="36">
        <v>99.99</v>
      </c>
      <c r="I13" s="17">
        <v>29.3</v>
      </c>
      <c r="J13" s="37">
        <f t="shared" si="0"/>
        <v>61.099207507820644</v>
      </c>
      <c r="K13" s="38">
        <f t="shared" si="1"/>
        <v>0</v>
      </c>
    </row>
    <row r="14" spans="1:18" x14ac:dyDescent="0.35">
      <c r="A14" s="135" t="s">
        <v>74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7"/>
    </row>
    <row r="15" spans="1:18" x14ac:dyDescent="0.35">
      <c r="A15" s="17"/>
      <c r="B15" s="61"/>
      <c r="C15" s="15"/>
      <c r="D15" s="15"/>
      <c r="E15" s="54"/>
      <c r="F15" s="51" t="s">
        <v>153</v>
      </c>
      <c r="G15" s="35">
        <v>64.599999999999994</v>
      </c>
      <c r="H15" s="36">
        <v>41.99</v>
      </c>
      <c r="I15" s="17">
        <f>30.8+64.6</f>
        <v>95.399999999999991</v>
      </c>
      <c r="J15" s="37">
        <f t="shared" si="0"/>
        <v>62.01</v>
      </c>
      <c r="K15" s="38">
        <f>((SUM(A15:E15)/G15)-(I15/G15))*39</f>
        <v>-57.594427244582043</v>
      </c>
    </row>
    <row r="16" spans="1:18" x14ac:dyDescent="0.35">
      <c r="A16" s="17">
        <v>47.6</v>
      </c>
      <c r="B16" s="61"/>
      <c r="C16" s="15"/>
      <c r="D16" s="15"/>
      <c r="E16" s="54"/>
      <c r="F16" s="51" t="s">
        <v>75</v>
      </c>
      <c r="G16" s="35">
        <v>47.25</v>
      </c>
      <c r="H16" s="36">
        <v>30.99</v>
      </c>
      <c r="I16" s="17">
        <v>47.6</v>
      </c>
      <c r="J16" s="37">
        <f t="shared" si="0"/>
        <v>31.219555555555559</v>
      </c>
      <c r="K16" s="38">
        <f>((SUM(A16:E16)/G16)-(I16/G16))*39</f>
        <v>0</v>
      </c>
    </row>
    <row r="17" spans="1:11" x14ac:dyDescent="0.35">
      <c r="A17" s="17">
        <v>40.200000000000003</v>
      </c>
      <c r="B17" s="61"/>
      <c r="C17" s="15"/>
      <c r="D17" s="15"/>
      <c r="E17" s="54"/>
      <c r="F17" s="51" t="s">
        <v>213</v>
      </c>
      <c r="G17" s="35">
        <v>42.75</v>
      </c>
      <c r="H17" s="36">
        <v>27.99</v>
      </c>
      <c r="I17" s="17">
        <v>33.1</v>
      </c>
      <c r="J17" s="37">
        <f t="shared" si="0"/>
        <v>21.67178947368421</v>
      </c>
      <c r="K17" s="38">
        <f>((SUM(A17:E17)/G17)-(I17/G17))*26</f>
        <v>4.3181286549707609</v>
      </c>
    </row>
    <row r="18" spans="1:11" x14ac:dyDescent="0.35">
      <c r="A18" s="17">
        <v>44.5</v>
      </c>
      <c r="B18" s="61"/>
      <c r="C18" s="15"/>
      <c r="D18" s="15"/>
      <c r="E18" s="54"/>
      <c r="F18" s="51" t="s">
        <v>214</v>
      </c>
      <c r="G18" s="35">
        <v>45</v>
      </c>
      <c r="H18" s="36">
        <v>26.99</v>
      </c>
      <c r="I18" s="17">
        <v>44.5</v>
      </c>
      <c r="J18" s="37">
        <f t="shared" si="0"/>
        <v>26.690111111111111</v>
      </c>
      <c r="K18" s="38">
        <f>((SUM(A18:E18)/G18)-(I18/G18))*26</f>
        <v>0</v>
      </c>
    </row>
    <row r="19" spans="1:11" x14ac:dyDescent="0.35">
      <c r="A19" s="17">
        <v>34.1</v>
      </c>
      <c r="B19" s="61"/>
      <c r="C19" s="15"/>
      <c r="D19" s="15"/>
      <c r="E19" s="54"/>
      <c r="F19" s="51" t="s">
        <v>77</v>
      </c>
      <c r="G19" s="35">
        <v>51.1</v>
      </c>
      <c r="H19" s="36">
        <v>36.99</v>
      </c>
      <c r="I19" s="17">
        <v>32.25</v>
      </c>
      <c r="J19" s="37">
        <f t="shared" si="0"/>
        <v>23.344960861056752</v>
      </c>
      <c r="K19" s="38">
        <f t="shared" ref="K19:K26" si="2">((SUM(A19:E19)/G19)-(I19/G19))*39</f>
        <v>1.4119373776908055</v>
      </c>
    </row>
    <row r="20" spans="1:11" x14ac:dyDescent="0.35">
      <c r="A20" s="17">
        <v>143.94999999999999</v>
      </c>
      <c r="B20" s="61"/>
      <c r="C20" s="15"/>
      <c r="D20" s="15"/>
      <c r="E20" s="54"/>
      <c r="F20" s="51" t="s">
        <v>155</v>
      </c>
      <c r="G20" s="35">
        <v>59.25</v>
      </c>
      <c r="H20" s="36">
        <v>22.99</v>
      </c>
      <c r="I20" s="17">
        <v>59.2</v>
      </c>
      <c r="J20" s="37">
        <f t="shared" si="0"/>
        <v>22.970599156118144</v>
      </c>
      <c r="K20" s="38">
        <f t="shared" si="2"/>
        <v>55.784810126582265</v>
      </c>
    </row>
    <row r="21" spans="1:11" x14ac:dyDescent="0.35">
      <c r="A21" s="17">
        <v>41.5</v>
      </c>
      <c r="B21" s="61"/>
      <c r="C21" s="15"/>
      <c r="D21" s="15"/>
      <c r="E21" s="54"/>
      <c r="F21" s="51" t="s">
        <v>215</v>
      </c>
      <c r="G21" s="35">
        <v>53.05</v>
      </c>
      <c r="H21" s="36">
        <v>36.99</v>
      </c>
      <c r="I21" s="17">
        <v>41.45</v>
      </c>
      <c r="J21" s="37">
        <f t="shared" si="0"/>
        <v>28.901705937794539</v>
      </c>
      <c r="K21" s="38">
        <f t="shared" si="2"/>
        <v>3.6757775683314842E-2</v>
      </c>
    </row>
    <row r="22" spans="1:11" x14ac:dyDescent="0.35">
      <c r="A22" s="138" t="s">
        <v>78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</row>
    <row r="23" spans="1:11" x14ac:dyDescent="0.35">
      <c r="A23" s="17">
        <v>78.5</v>
      </c>
      <c r="B23" s="61"/>
      <c r="C23" s="15"/>
      <c r="D23" s="15"/>
      <c r="E23" s="54"/>
      <c r="F23" s="51" t="s">
        <v>79</v>
      </c>
      <c r="G23" s="35">
        <v>45.95</v>
      </c>
      <c r="H23" s="36">
        <v>39.99</v>
      </c>
      <c r="I23" s="17">
        <v>44.65</v>
      </c>
      <c r="J23" s="37">
        <f t="shared" si="0"/>
        <v>38.858618063112075</v>
      </c>
      <c r="K23" s="38">
        <f t="shared" si="2"/>
        <v>28.730141458106637</v>
      </c>
    </row>
    <row r="24" spans="1:11" x14ac:dyDescent="0.35">
      <c r="A24" s="17">
        <v>23.75</v>
      </c>
      <c r="B24" s="61"/>
      <c r="C24" s="15"/>
      <c r="D24" s="15"/>
      <c r="E24" s="54"/>
      <c r="F24" s="51" t="s">
        <v>80</v>
      </c>
      <c r="G24" s="35">
        <v>46.1</v>
      </c>
      <c r="H24" s="36">
        <v>49.99</v>
      </c>
      <c r="I24" s="17">
        <v>44.05</v>
      </c>
      <c r="J24" s="37">
        <f t="shared" si="0"/>
        <v>47.76701735357917</v>
      </c>
      <c r="K24" s="38">
        <f t="shared" si="2"/>
        <v>-17.173535791757047</v>
      </c>
    </row>
    <row r="25" spans="1:11" x14ac:dyDescent="0.35">
      <c r="A25" s="138" t="s">
        <v>81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1" x14ac:dyDescent="0.35">
      <c r="A26" s="17">
        <v>24.5</v>
      </c>
      <c r="B26" s="61"/>
      <c r="C26" s="15"/>
      <c r="D26" s="15"/>
      <c r="E26" s="54"/>
      <c r="F26" s="51" t="s">
        <v>223</v>
      </c>
      <c r="G26" s="35">
        <v>43.6</v>
      </c>
      <c r="H26" s="36">
        <v>23.99</v>
      </c>
      <c r="I26" s="17">
        <v>55.05</v>
      </c>
      <c r="J26" s="37">
        <f t="shared" si="0"/>
        <v>30.290126146788985</v>
      </c>
      <c r="K26" s="38">
        <f t="shared" si="2"/>
        <v>-27.326834862385315</v>
      </c>
    </row>
    <row r="27" spans="1:11" x14ac:dyDescent="0.35">
      <c r="A27" s="17">
        <v>110.55</v>
      </c>
      <c r="B27" s="61"/>
      <c r="C27" s="15"/>
      <c r="D27" s="15"/>
      <c r="E27" s="54"/>
      <c r="F27" s="51" t="s">
        <v>224</v>
      </c>
      <c r="G27" s="35">
        <v>66.55</v>
      </c>
      <c r="H27" s="36">
        <v>29.99</v>
      </c>
      <c r="I27" s="17">
        <v>62.45</v>
      </c>
      <c r="J27" s="37">
        <f t="shared" si="0"/>
        <v>28.142381667918858</v>
      </c>
      <c r="K27" s="38">
        <f>((SUM(A27:E27)/G27)-(I27/G27))*26</f>
        <v>18.791885800150261</v>
      </c>
    </row>
    <row r="28" spans="1:11" x14ac:dyDescent="0.35">
      <c r="A28" s="17">
        <v>28.6</v>
      </c>
      <c r="B28" s="61"/>
      <c r="C28" s="15"/>
      <c r="D28" s="15"/>
      <c r="E28" s="54"/>
      <c r="F28" s="51" t="s">
        <v>83</v>
      </c>
      <c r="G28" s="35"/>
      <c r="H28" s="36">
        <v>26.99</v>
      </c>
      <c r="I28" s="17">
        <v>28.55</v>
      </c>
      <c r="J28" s="37" t="e">
        <f t="shared" si="0"/>
        <v>#DIV/0!</v>
      </c>
      <c r="K28" s="38" t="e">
        <f>((SUM(A28:E28)/G28)-(I28/G28))*26</f>
        <v>#DIV/0!</v>
      </c>
    </row>
    <row r="29" spans="1:11" x14ac:dyDescent="0.35">
      <c r="A29" s="17">
        <v>40.4</v>
      </c>
      <c r="B29" s="61"/>
      <c r="C29" s="15"/>
      <c r="D29" s="15"/>
      <c r="E29" s="54"/>
      <c r="F29" s="51" t="s">
        <v>84</v>
      </c>
      <c r="G29" s="35">
        <v>45.1</v>
      </c>
      <c r="H29" s="36">
        <v>49.99</v>
      </c>
      <c r="I29" s="17">
        <v>38.700000000000003</v>
      </c>
      <c r="J29" s="37">
        <f t="shared" si="0"/>
        <v>42.89607538802661</v>
      </c>
      <c r="K29" s="38">
        <f>((SUM(A29:E29)/G29)-(I29/G29))*26</f>
        <v>0.98004434589800216</v>
      </c>
    </row>
    <row r="30" spans="1:11" x14ac:dyDescent="0.35">
      <c r="A30" s="17">
        <v>25.9</v>
      </c>
      <c r="B30" s="61"/>
      <c r="C30" s="15"/>
      <c r="D30" s="15"/>
      <c r="E30" s="54"/>
      <c r="F30" s="51" t="s">
        <v>85</v>
      </c>
      <c r="G30" s="35">
        <v>45.45</v>
      </c>
      <c r="H30" s="36">
        <v>28.99</v>
      </c>
      <c r="I30" s="17">
        <v>25.85</v>
      </c>
      <c r="J30" s="37">
        <f t="shared" si="0"/>
        <v>16.488261826182615</v>
      </c>
      <c r="K30" s="38">
        <f>((SUM(A30:E30)/G30)-(I30/G30))*39</f>
        <v>4.290429042904198E-2</v>
      </c>
    </row>
    <row r="31" spans="1:11" x14ac:dyDescent="0.35">
      <c r="A31" s="138" t="s">
        <v>86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40"/>
    </row>
    <row r="32" spans="1:11" x14ac:dyDescent="0.35">
      <c r="A32" s="17"/>
      <c r="B32" s="55"/>
      <c r="C32" s="16"/>
      <c r="D32" s="16"/>
      <c r="E32" s="56"/>
      <c r="F32" s="51" t="s">
        <v>87</v>
      </c>
      <c r="G32" s="35">
        <v>44.1</v>
      </c>
      <c r="H32" s="36">
        <v>25.99</v>
      </c>
      <c r="I32" s="17"/>
      <c r="J32" s="37">
        <f t="shared" si="0"/>
        <v>0</v>
      </c>
      <c r="K32" s="38">
        <f>((SUM(A32:E32)/G32)-(I32/G32))*26</f>
        <v>0</v>
      </c>
    </row>
    <row r="33" spans="1:11" x14ac:dyDescent="0.35">
      <c r="A33" s="17">
        <v>18.399999999999999</v>
      </c>
      <c r="B33" s="55"/>
      <c r="C33" s="16"/>
      <c r="D33" s="16"/>
      <c r="E33" s="56"/>
      <c r="F33" s="51" t="s">
        <v>216</v>
      </c>
      <c r="G33" s="35">
        <v>41.65</v>
      </c>
      <c r="H33" s="36">
        <v>24.99</v>
      </c>
      <c r="I33" s="17">
        <v>17.350000000000001</v>
      </c>
      <c r="J33" s="37">
        <f t="shared" si="0"/>
        <v>10.41</v>
      </c>
      <c r="K33" s="38">
        <f>((SUM(A33:E33)/G33)-(I33/G33))*26</f>
        <v>0.65546218487394869</v>
      </c>
    </row>
    <row r="34" spans="1:11" x14ac:dyDescent="0.35">
      <c r="A34" s="17">
        <v>46.05</v>
      </c>
      <c r="B34" s="55"/>
      <c r="C34" s="16"/>
      <c r="D34" s="16"/>
      <c r="E34" s="56"/>
      <c r="F34" s="51" t="s">
        <v>217</v>
      </c>
      <c r="G34" s="35">
        <v>53.4</v>
      </c>
      <c r="H34" s="36">
        <v>36.99</v>
      </c>
      <c r="I34" s="17">
        <v>33.25</v>
      </c>
      <c r="J34" s="37">
        <f>(I34/G34)*H34</f>
        <v>23.032162921348316</v>
      </c>
      <c r="K34" s="38">
        <f>((SUM(A34:E34)/G34)-(I34/G34))*26</f>
        <v>6.2322097378277128</v>
      </c>
    </row>
    <row r="35" spans="1:11" x14ac:dyDescent="0.35">
      <c r="A35" s="17">
        <v>60.2</v>
      </c>
      <c r="B35" s="55"/>
      <c r="C35" s="16"/>
      <c r="D35" s="16"/>
      <c r="E35" s="56"/>
      <c r="F35" s="51" t="s">
        <v>218</v>
      </c>
      <c r="G35" s="35">
        <v>60.25</v>
      </c>
      <c r="H35" s="36">
        <v>57.99</v>
      </c>
      <c r="I35" s="17">
        <f>23.3+60.25</f>
        <v>83.55</v>
      </c>
      <c r="J35" s="37">
        <f t="shared" si="0"/>
        <v>80.416008298755187</v>
      </c>
      <c r="K35" s="38">
        <f>((SUM(A35:E35)/G35)-(I35/G35))*26</f>
        <v>-10.076348547717842</v>
      </c>
    </row>
    <row r="36" spans="1:11" x14ac:dyDescent="0.35">
      <c r="A36" s="17">
        <v>59.9</v>
      </c>
      <c r="B36" s="55"/>
      <c r="C36" s="16"/>
      <c r="D36" s="16"/>
      <c r="E36" s="56"/>
      <c r="F36" s="51" t="s">
        <v>219</v>
      </c>
      <c r="G36" s="35">
        <v>59.75</v>
      </c>
      <c r="H36" s="36">
        <v>36.99</v>
      </c>
      <c r="I36" s="17">
        <f>52.55+59.8</f>
        <v>112.35</v>
      </c>
      <c r="J36" s="37">
        <f t="shared" si="0"/>
        <v>69.553581589958156</v>
      </c>
      <c r="K36" s="38">
        <f>((SUM(A36:E36)/G36)-(I36/G36))*13</f>
        <v>-11.411715481171548</v>
      </c>
    </row>
    <row r="37" spans="1:11" x14ac:dyDescent="0.35">
      <c r="A37" s="17">
        <v>37.5</v>
      </c>
      <c r="B37" s="76"/>
      <c r="C37" s="77"/>
      <c r="D37" s="77"/>
      <c r="E37" s="78"/>
      <c r="F37" s="51" t="s">
        <v>220</v>
      </c>
      <c r="G37" s="35">
        <v>41.05</v>
      </c>
      <c r="H37" s="36">
        <v>22.99</v>
      </c>
      <c r="I37" s="17">
        <v>37.450000000000003</v>
      </c>
      <c r="J37" s="37">
        <f t="shared" si="0"/>
        <v>20.973824604141292</v>
      </c>
      <c r="K37" s="38">
        <f>((SUM(A37:E37)/G37)-(I37/G37))*39</f>
        <v>4.7503045066988325E-2</v>
      </c>
    </row>
    <row r="38" spans="1:11" x14ac:dyDescent="0.35">
      <c r="A38" s="141" t="s">
        <v>90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3"/>
    </row>
    <row r="39" spans="1:11" x14ac:dyDescent="0.35">
      <c r="A39" s="17">
        <v>95.65</v>
      </c>
      <c r="B39" s="55"/>
      <c r="C39" s="16"/>
      <c r="D39" s="16"/>
      <c r="E39" s="56"/>
      <c r="F39" s="50" t="s">
        <v>92</v>
      </c>
      <c r="G39" s="35">
        <v>61.95</v>
      </c>
      <c r="H39" s="36">
        <v>34.99</v>
      </c>
      <c r="I39" s="17">
        <f>32.8+61.8</f>
        <v>94.6</v>
      </c>
      <c r="J39" s="37">
        <f t="shared" si="0"/>
        <v>53.431057304277644</v>
      </c>
      <c r="K39" s="38">
        <f t="shared" ref="K39:K55" si="3">((SUM(A39:E39)/G39)-(I39/G39))*39</f>
        <v>0.66101694915254927</v>
      </c>
    </row>
    <row r="40" spans="1:11" x14ac:dyDescent="0.35">
      <c r="A40" s="17"/>
      <c r="B40" s="55"/>
      <c r="C40" s="16"/>
      <c r="D40" s="16"/>
      <c r="E40" s="56"/>
      <c r="F40" s="50" t="s">
        <v>163</v>
      </c>
      <c r="G40" s="35"/>
      <c r="H40" s="36"/>
      <c r="I40" s="17"/>
      <c r="J40" s="37" t="e">
        <f t="shared" si="0"/>
        <v>#DIV/0!</v>
      </c>
      <c r="K40" s="38" t="e">
        <f t="shared" ref="K40:K41" si="4">((SUM(A40:E40)/G40)-(I40/G40))*39</f>
        <v>#DIV/0!</v>
      </c>
    </row>
    <row r="41" spans="1:11" x14ac:dyDescent="0.35">
      <c r="A41" s="17">
        <v>24.15</v>
      </c>
      <c r="B41" s="55"/>
      <c r="C41" s="16"/>
      <c r="D41" s="16"/>
      <c r="E41" s="56"/>
      <c r="F41" s="50" t="s">
        <v>160</v>
      </c>
      <c r="G41" s="35">
        <v>43.45</v>
      </c>
      <c r="H41" s="36">
        <v>34.99</v>
      </c>
      <c r="I41" s="17">
        <v>24.05</v>
      </c>
      <c r="J41" s="37">
        <f t="shared" si="0"/>
        <v>19.367307249712315</v>
      </c>
      <c r="K41" s="38">
        <f t="shared" si="4"/>
        <v>8.975834292289564E-2</v>
      </c>
    </row>
    <row r="42" spans="1:11" x14ac:dyDescent="0.35">
      <c r="A42" s="17">
        <v>136</v>
      </c>
      <c r="B42" s="55"/>
      <c r="C42" s="16"/>
      <c r="D42" s="16"/>
      <c r="E42" s="56"/>
      <c r="F42" s="50" t="s">
        <v>91</v>
      </c>
      <c r="G42" s="35">
        <v>50.85</v>
      </c>
      <c r="H42" s="36">
        <v>59.99</v>
      </c>
      <c r="I42" s="17">
        <f>40.1+43.9+51.6</f>
        <v>135.6</v>
      </c>
      <c r="J42" s="37">
        <f t="shared" si="0"/>
        <v>159.97333333333333</v>
      </c>
      <c r="K42" s="38">
        <f t="shared" si="3"/>
        <v>0.30678466076697175</v>
      </c>
    </row>
    <row r="43" spans="1:11" x14ac:dyDescent="0.35">
      <c r="A43" s="17"/>
      <c r="B43" s="55">
        <v>1</v>
      </c>
      <c r="C43" s="16"/>
      <c r="D43" s="16"/>
      <c r="E43" s="56"/>
      <c r="F43" s="50" t="s">
        <v>151</v>
      </c>
      <c r="G43" s="35">
        <v>47.3</v>
      </c>
      <c r="H43" s="36">
        <v>29.99</v>
      </c>
      <c r="I43" s="17">
        <v>58.1</v>
      </c>
      <c r="J43" s="37">
        <f t="shared" si="0"/>
        <v>36.837610993657506</v>
      </c>
      <c r="K43" s="38">
        <f t="shared" si="3"/>
        <v>-47.080338266384786</v>
      </c>
    </row>
    <row r="44" spans="1:11" x14ac:dyDescent="0.35">
      <c r="A44" s="138" t="s">
        <v>93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40"/>
    </row>
    <row r="45" spans="1:11" x14ac:dyDescent="0.35">
      <c r="A45" s="17">
        <v>30.6</v>
      </c>
      <c r="B45" s="55"/>
      <c r="C45" s="16"/>
      <c r="D45" s="16"/>
      <c r="E45" s="56"/>
      <c r="F45" s="50" t="s">
        <v>94</v>
      </c>
      <c r="G45" s="35">
        <v>43.8</v>
      </c>
      <c r="H45" s="36">
        <v>26.99</v>
      </c>
      <c r="I45" s="17">
        <f>30.45+42.4</f>
        <v>72.849999999999994</v>
      </c>
      <c r="J45" s="37">
        <f t="shared" si="0"/>
        <v>44.890901826484011</v>
      </c>
      <c r="K45" s="38">
        <f t="shared" si="3"/>
        <v>-37.61986301369862</v>
      </c>
    </row>
    <row r="46" spans="1:11" x14ac:dyDescent="0.35">
      <c r="A46" s="17"/>
      <c r="B46" s="55"/>
      <c r="C46" s="16"/>
      <c r="D46" s="16"/>
      <c r="E46" s="56"/>
      <c r="F46" s="50" t="s">
        <v>95</v>
      </c>
      <c r="G46" s="35">
        <v>43.8</v>
      </c>
      <c r="H46" s="36">
        <v>28.99</v>
      </c>
      <c r="I46" s="17">
        <f>43.9</f>
        <v>43.9</v>
      </c>
      <c r="J46" s="37">
        <f t="shared" si="0"/>
        <v>29.056187214611874</v>
      </c>
      <c r="K46" s="38">
        <f t="shared" si="3"/>
        <v>-39.089041095890416</v>
      </c>
    </row>
    <row r="47" spans="1:11" x14ac:dyDescent="0.35">
      <c r="A47" s="17"/>
      <c r="B47" s="55"/>
      <c r="C47" s="16"/>
      <c r="D47" s="16"/>
      <c r="E47" s="56"/>
      <c r="F47" s="50" t="s">
        <v>69</v>
      </c>
      <c r="G47" s="35">
        <v>50.4</v>
      </c>
      <c r="H47" s="36">
        <v>44.99</v>
      </c>
      <c r="I47" s="17">
        <v>0</v>
      </c>
      <c r="J47" s="37">
        <f t="shared" si="0"/>
        <v>0</v>
      </c>
      <c r="K47" s="38">
        <f t="shared" si="3"/>
        <v>0</v>
      </c>
    </row>
    <row r="48" spans="1:11" x14ac:dyDescent="0.35">
      <c r="A48" s="17">
        <v>147.30000000000001</v>
      </c>
      <c r="B48" s="55"/>
      <c r="C48" s="16"/>
      <c r="D48" s="16"/>
      <c r="E48" s="56"/>
      <c r="F48" s="50" t="s">
        <v>96</v>
      </c>
      <c r="G48" s="35">
        <v>61.3</v>
      </c>
      <c r="H48" s="36">
        <v>33.99</v>
      </c>
      <c r="I48" s="17">
        <v>55.5</v>
      </c>
      <c r="J48" s="37">
        <f t="shared" si="0"/>
        <v>30.773980424143559</v>
      </c>
      <c r="K48" s="38">
        <f t="shared" si="3"/>
        <v>58.404567699836868</v>
      </c>
    </row>
    <row r="49" spans="1:11" x14ac:dyDescent="0.35">
      <c r="A49" s="17">
        <v>41.7</v>
      </c>
      <c r="B49" s="55"/>
      <c r="C49" s="16"/>
      <c r="D49" s="16"/>
      <c r="E49" s="56"/>
      <c r="F49" s="50" t="s">
        <v>97</v>
      </c>
      <c r="G49" s="35">
        <v>50.25</v>
      </c>
      <c r="H49" s="36">
        <v>27.99</v>
      </c>
      <c r="I49" s="17">
        <v>36.75</v>
      </c>
      <c r="J49" s="37">
        <f t="shared" si="0"/>
        <v>20.470298507462687</v>
      </c>
      <c r="K49" s="38">
        <f t="shared" si="3"/>
        <v>3.8417910447761203</v>
      </c>
    </row>
    <row r="50" spans="1:11" x14ac:dyDescent="0.35">
      <c r="A50" s="17">
        <v>70.2</v>
      </c>
      <c r="B50" s="55"/>
      <c r="C50" s="16"/>
      <c r="D50" s="16"/>
      <c r="E50" s="56"/>
      <c r="F50" s="50" t="s">
        <v>98</v>
      </c>
      <c r="G50" s="35">
        <v>42.45</v>
      </c>
      <c r="H50" s="36">
        <v>27.99</v>
      </c>
      <c r="I50" s="17">
        <v>22.75</v>
      </c>
      <c r="J50" s="37">
        <f t="shared" si="0"/>
        <v>15.000530035335686</v>
      </c>
      <c r="K50" s="38">
        <f t="shared" si="3"/>
        <v>43.593639575971729</v>
      </c>
    </row>
    <row r="51" spans="1:11" x14ac:dyDescent="0.35">
      <c r="A51" s="17">
        <v>61.15</v>
      </c>
      <c r="B51" s="55"/>
      <c r="C51" s="16"/>
      <c r="D51" s="16"/>
      <c r="E51" s="56"/>
      <c r="F51" s="50" t="s">
        <v>158</v>
      </c>
      <c r="G51" s="35">
        <v>42.45</v>
      </c>
      <c r="H51" s="36">
        <v>27.99</v>
      </c>
      <c r="I51" s="17">
        <f>18.55+42.35</f>
        <v>60.900000000000006</v>
      </c>
      <c r="J51" s="37">
        <f t="shared" si="0"/>
        <v>40.155265017667844</v>
      </c>
      <c r="K51" s="38">
        <f t="shared" si="3"/>
        <v>0.22968197879857954</v>
      </c>
    </row>
    <row r="52" spans="1:11" x14ac:dyDescent="0.35">
      <c r="A52" s="17"/>
      <c r="B52" s="55"/>
      <c r="C52" s="16"/>
      <c r="D52" s="16"/>
      <c r="E52" s="56"/>
      <c r="F52" s="50" t="s">
        <v>159</v>
      </c>
      <c r="G52" s="35"/>
      <c r="H52" s="36">
        <v>31.99</v>
      </c>
      <c r="I52" s="17"/>
      <c r="J52" s="37" t="e">
        <f t="shared" si="0"/>
        <v>#DIV/0!</v>
      </c>
      <c r="K52" s="38" t="e">
        <f t="shared" si="3"/>
        <v>#DIV/0!</v>
      </c>
    </row>
    <row r="53" spans="1:11" x14ac:dyDescent="0.35">
      <c r="A53" s="17"/>
      <c r="B53" s="55"/>
      <c r="C53" s="16"/>
      <c r="D53" s="16"/>
      <c r="E53" s="56"/>
      <c r="F53" s="50" t="s">
        <v>176</v>
      </c>
      <c r="G53" s="35"/>
      <c r="H53" s="36"/>
      <c r="I53" s="17"/>
      <c r="J53" s="37" t="e">
        <f t="shared" si="0"/>
        <v>#DIV/0!</v>
      </c>
      <c r="K53" s="38" t="e">
        <f t="shared" si="3"/>
        <v>#DIV/0!</v>
      </c>
    </row>
    <row r="54" spans="1:11" x14ac:dyDescent="0.35">
      <c r="A54" s="17">
        <v>43</v>
      </c>
      <c r="B54" s="55"/>
      <c r="C54" s="16"/>
      <c r="D54" s="16"/>
      <c r="E54" s="56"/>
      <c r="F54" s="50" t="s">
        <v>180</v>
      </c>
      <c r="G54" s="35">
        <v>48.45</v>
      </c>
      <c r="H54" s="36">
        <v>34.99</v>
      </c>
      <c r="I54" s="17">
        <f>42.95+48.45</f>
        <v>91.4</v>
      </c>
      <c r="J54" s="37">
        <f t="shared" si="0"/>
        <v>66.007966976264186</v>
      </c>
      <c r="K54" s="38">
        <f t="shared" si="3"/>
        <v>-38.959752321981419</v>
      </c>
    </row>
    <row r="55" spans="1:11" ht="15" thickBot="1" x14ac:dyDescent="0.4">
      <c r="A55" s="17"/>
      <c r="B55" s="57"/>
      <c r="C55" s="58"/>
      <c r="D55" s="58"/>
      <c r="E55" s="59"/>
      <c r="F55" s="50"/>
      <c r="G55" s="35"/>
      <c r="H55" s="36"/>
      <c r="I55" s="17"/>
      <c r="J55" s="37" t="e">
        <f t="shared" si="0"/>
        <v>#DIV/0!</v>
      </c>
      <c r="K55" s="38" t="e">
        <f t="shared" si="3"/>
        <v>#DIV/0!</v>
      </c>
    </row>
    <row r="56" spans="1:11" ht="20.149999999999999" customHeight="1" thickBot="1" x14ac:dyDescent="0.6">
      <c r="A56" s="130" t="s">
        <v>9</v>
      </c>
      <c r="B56" s="131"/>
      <c r="C56" s="131"/>
      <c r="D56" s="131"/>
      <c r="E56" s="131"/>
      <c r="F56" s="132"/>
      <c r="G56" s="132"/>
      <c r="H56" s="132"/>
      <c r="I56" s="133"/>
      <c r="J56" s="126">
        <v>1713.9906492157534</v>
      </c>
      <c r="K56" s="88"/>
    </row>
    <row r="57" spans="1:11" ht="20.149999999999999" customHeight="1" thickBot="1" x14ac:dyDescent="0.6">
      <c r="A57" s="130" t="s">
        <v>10</v>
      </c>
      <c r="B57" s="132"/>
      <c r="C57" s="132"/>
      <c r="D57" s="132"/>
      <c r="E57" s="132"/>
      <c r="F57" s="132"/>
      <c r="G57" s="132"/>
      <c r="H57" s="132"/>
      <c r="I57" s="134"/>
      <c r="J57" s="122">
        <v>0</v>
      </c>
      <c r="K57" s="90"/>
    </row>
    <row r="58" spans="1:11" ht="20.149999999999999" customHeight="1" thickBot="1" x14ac:dyDescent="0.6">
      <c r="A58" s="130" t="s">
        <v>55</v>
      </c>
      <c r="B58" s="132"/>
      <c r="C58" s="132"/>
      <c r="D58" s="132"/>
      <c r="E58" s="132"/>
      <c r="F58" s="132"/>
      <c r="G58" s="132"/>
      <c r="H58" s="132"/>
      <c r="I58" s="134"/>
      <c r="J58" s="89">
        <v>0</v>
      </c>
      <c r="K58" s="90"/>
    </row>
    <row r="59" spans="1:11" ht="20.149999999999999" customHeight="1" thickBot="1" x14ac:dyDescent="0.6">
      <c r="A59" s="130" t="s">
        <v>11</v>
      </c>
      <c r="B59" s="132"/>
      <c r="C59" s="132"/>
      <c r="D59" s="132"/>
      <c r="E59" s="132"/>
      <c r="F59" s="132"/>
      <c r="G59" s="132"/>
      <c r="H59" s="132"/>
      <c r="I59" s="134"/>
      <c r="J59" s="126" t="e">
        <f>SUM(J5:J55)</f>
        <v>#DIV/0!</v>
      </c>
      <c r="K59" s="88"/>
    </row>
    <row r="60" spans="1:11" ht="20.149999999999999" customHeight="1" thickBot="1" x14ac:dyDescent="0.6">
      <c r="A60" s="109" t="s">
        <v>12</v>
      </c>
      <c r="B60" s="110"/>
      <c r="C60" s="110"/>
      <c r="D60" s="110"/>
      <c r="E60" s="110"/>
      <c r="F60" s="110"/>
      <c r="G60" s="110"/>
      <c r="H60" s="110"/>
      <c r="I60" s="111"/>
      <c r="J60" s="122">
        <v>798.75</v>
      </c>
      <c r="K60" s="90"/>
    </row>
    <row r="61" spans="1:11" ht="20.149999999999999" customHeight="1" thickBot="1" x14ac:dyDescent="0.6">
      <c r="A61" s="123" t="s">
        <v>13</v>
      </c>
      <c r="B61" s="124"/>
      <c r="C61" s="124"/>
      <c r="D61" s="124"/>
      <c r="E61" s="124"/>
      <c r="F61" s="124"/>
      <c r="G61" s="124"/>
      <c r="H61" s="124"/>
      <c r="I61" s="125"/>
      <c r="J61" s="126" t="e">
        <f>J56+J57+J58-J59</f>
        <v>#DIV/0!</v>
      </c>
      <c r="K61" s="88"/>
    </row>
    <row r="62" spans="1:11" ht="20.149999999999999" customHeight="1" thickBot="1" x14ac:dyDescent="0.6">
      <c r="A62" s="109" t="s">
        <v>14</v>
      </c>
      <c r="B62" s="110"/>
      <c r="C62" s="110"/>
      <c r="D62" s="110"/>
      <c r="E62" s="110"/>
      <c r="F62" s="110"/>
      <c r="G62" s="110"/>
      <c r="H62" s="110"/>
      <c r="I62" s="111"/>
      <c r="J62" s="144" t="e">
        <f>J61/J60</f>
        <v>#DIV/0!</v>
      </c>
      <c r="K62" s="113"/>
    </row>
    <row r="63" spans="1:11" ht="20.149999999999999" customHeight="1" thickBot="1" x14ac:dyDescent="0.6">
      <c r="A63" s="109" t="s">
        <v>56</v>
      </c>
      <c r="B63" s="110"/>
      <c r="C63" s="110"/>
      <c r="D63" s="110"/>
      <c r="E63" s="110"/>
      <c r="F63" s="110"/>
      <c r="G63" s="110"/>
      <c r="H63" s="110"/>
      <c r="I63" s="111"/>
      <c r="J63" s="144" t="e">
        <f>((F223+F224+F226-J59)/F225)</f>
        <v>#DIV/0!</v>
      </c>
      <c r="K63" s="113"/>
    </row>
    <row r="64" spans="1:11" x14ac:dyDescent="0.35">
      <c r="A64" s="117" t="s">
        <v>0</v>
      </c>
      <c r="B64" s="119" t="s">
        <v>1</v>
      </c>
      <c r="C64" s="119"/>
      <c r="D64" s="119"/>
      <c r="E64" s="119"/>
      <c r="F64" s="94" t="s">
        <v>2</v>
      </c>
      <c r="G64" s="94" t="s">
        <v>3</v>
      </c>
      <c r="H64" s="94" t="s">
        <v>4</v>
      </c>
      <c r="I64" s="94" t="s">
        <v>5</v>
      </c>
      <c r="J64" s="94" t="s">
        <v>6</v>
      </c>
      <c r="K64" s="96" t="s">
        <v>7</v>
      </c>
    </row>
    <row r="65" spans="1:16" ht="20.149999999999999" customHeight="1" x14ac:dyDescent="0.35">
      <c r="A65" s="118"/>
      <c r="B65" s="27">
        <v>1</v>
      </c>
      <c r="C65" s="27">
        <v>2</v>
      </c>
      <c r="D65" s="27">
        <v>3</v>
      </c>
      <c r="E65" s="27">
        <v>4</v>
      </c>
      <c r="F65" s="95"/>
      <c r="G65" s="95"/>
      <c r="H65" s="95"/>
      <c r="I65" s="95"/>
      <c r="J65" s="95"/>
      <c r="K65" s="97"/>
    </row>
    <row r="66" spans="1:16" ht="24" thickBot="1" x14ac:dyDescent="0.6">
      <c r="A66" s="98" t="s">
        <v>122</v>
      </c>
      <c r="B66" s="99"/>
      <c r="C66" s="99"/>
      <c r="D66" s="99"/>
      <c r="E66" s="99"/>
      <c r="F66" s="99"/>
      <c r="G66" s="99"/>
      <c r="H66" s="99"/>
      <c r="I66" s="99"/>
      <c r="J66" s="100"/>
      <c r="K66" s="101"/>
    </row>
    <row r="67" spans="1:16" x14ac:dyDescent="0.35">
      <c r="A67" s="28">
        <v>12.85</v>
      </c>
      <c r="B67" s="14"/>
      <c r="C67" s="14"/>
      <c r="D67" s="14"/>
      <c r="E67" s="14"/>
      <c r="F67" s="34" t="s">
        <v>138</v>
      </c>
      <c r="G67" s="35"/>
      <c r="H67" s="36">
        <v>22.99</v>
      </c>
      <c r="I67" s="28">
        <v>6.8</v>
      </c>
      <c r="J67" s="39">
        <f>I67*H67</f>
        <v>156.33199999999999</v>
      </c>
      <c r="K67" s="40">
        <f>(SUM(A67:E67))-I67</f>
        <v>6.05</v>
      </c>
      <c r="O67" s="49"/>
      <c r="P67" s="49"/>
    </row>
    <row r="68" spans="1:16" x14ac:dyDescent="0.35">
      <c r="A68" s="28">
        <v>34.6</v>
      </c>
      <c r="B68" s="14"/>
      <c r="C68" s="14"/>
      <c r="D68" s="14"/>
      <c r="E68" s="14"/>
      <c r="F68" s="34" t="s">
        <v>221</v>
      </c>
      <c r="G68" s="35">
        <v>69.75</v>
      </c>
      <c r="H68" s="36"/>
      <c r="I68" s="28"/>
      <c r="J68" s="39">
        <f>I68*H68</f>
        <v>0</v>
      </c>
      <c r="K68" s="40">
        <f>(SUM(A68:E68))-I68</f>
        <v>34.6</v>
      </c>
      <c r="O68" s="49"/>
      <c r="P68" s="49"/>
    </row>
    <row r="69" spans="1:16" x14ac:dyDescent="0.35">
      <c r="A69" s="28">
        <v>38.25</v>
      </c>
      <c r="B69" s="14"/>
      <c r="C69" s="14"/>
      <c r="D69" s="14"/>
      <c r="E69" s="14"/>
      <c r="F69" s="34" t="s">
        <v>126</v>
      </c>
      <c r="G69" s="35">
        <v>49.65</v>
      </c>
      <c r="H69" s="36"/>
      <c r="I69" s="28">
        <v>36.1</v>
      </c>
      <c r="J69" s="39">
        <f t="shared" ref="J69:J96" si="5">I69*H69</f>
        <v>0</v>
      </c>
      <c r="K69" s="40">
        <f t="shared" ref="K69:K96" si="6">(SUM(A69:E69))-I69</f>
        <v>2.1499999999999986</v>
      </c>
      <c r="O69" s="49"/>
      <c r="P69" s="49"/>
    </row>
    <row r="70" spans="1:16" x14ac:dyDescent="0.35">
      <c r="A70" s="28">
        <v>76.699999999999989</v>
      </c>
      <c r="B70" s="14"/>
      <c r="C70" s="14"/>
      <c r="D70" s="14"/>
      <c r="E70" s="14"/>
      <c r="F70" s="34" t="s">
        <v>124</v>
      </c>
      <c r="G70" s="35">
        <v>41.9</v>
      </c>
      <c r="H70" s="36">
        <v>20.99</v>
      </c>
      <c r="I70" s="28">
        <v>34.799999999999997</v>
      </c>
      <c r="J70" s="39">
        <f t="shared" si="5"/>
        <v>730.45199999999988</v>
      </c>
      <c r="K70" s="40">
        <f t="shared" si="6"/>
        <v>41.899999999999991</v>
      </c>
      <c r="O70" s="49"/>
      <c r="P70" s="49"/>
    </row>
    <row r="71" spans="1:16" x14ac:dyDescent="0.35">
      <c r="A71" s="28">
        <v>30.85</v>
      </c>
      <c r="B71" s="14"/>
      <c r="C71" s="14"/>
      <c r="D71" s="14"/>
      <c r="E71" s="14"/>
      <c r="F71" s="34" t="s">
        <v>125</v>
      </c>
      <c r="G71" s="35">
        <v>41.9</v>
      </c>
      <c r="H71" s="36"/>
      <c r="I71" s="28"/>
      <c r="J71" s="39">
        <f t="shared" si="5"/>
        <v>0</v>
      </c>
      <c r="K71" s="40">
        <f t="shared" si="6"/>
        <v>30.85</v>
      </c>
      <c r="O71" s="49"/>
      <c r="P71" s="49"/>
    </row>
    <row r="72" spans="1:16" x14ac:dyDescent="0.35">
      <c r="A72" s="28">
        <v>16.45</v>
      </c>
      <c r="B72" s="14"/>
      <c r="C72" s="14"/>
      <c r="D72" s="14"/>
      <c r="E72" s="14"/>
      <c r="F72" s="34" t="s">
        <v>123</v>
      </c>
      <c r="G72" s="35">
        <v>41.9</v>
      </c>
      <c r="H72" s="36">
        <v>21.99</v>
      </c>
      <c r="I72" s="28">
        <f>16.45+41.9</f>
        <v>58.349999999999994</v>
      </c>
      <c r="J72" s="39">
        <f t="shared" si="5"/>
        <v>1283.1164999999999</v>
      </c>
      <c r="K72" s="40">
        <f t="shared" si="6"/>
        <v>-41.899999999999991</v>
      </c>
      <c r="O72" s="49"/>
      <c r="P72" s="49"/>
    </row>
    <row r="73" spans="1:16" x14ac:dyDescent="0.35">
      <c r="A73" s="28"/>
      <c r="B73" s="14"/>
      <c r="C73" s="14"/>
      <c r="D73" s="14"/>
      <c r="E73" s="14"/>
      <c r="F73" s="34" t="s">
        <v>129</v>
      </c>
      <c r="G73" s="35"/>
      <c r="H73" s="36">
        <v>41.99</v>
      </c>
      <c r="I73" s="28"/>
      <c r="J73" s="39">
        <f t="shared" si="5"/>
        <v>0</v>
      </c>
      <c r="K73" s="40">
        <f t="shared" si="6"/>
        <v>0</v>
      </c>
      <c r="O73" s="49"/>
      <c r="P73" s="49"/>
    </row>
    <row r="74" spans="1:16" x14ac:dyDescent="0.35">
      <c r="A74" s="28"/>
      <c r="B74" s="14"/>
      <c r="C74" s="14"/>
      <c r="D74" s="14"/>
      <c r="E74" s="14"/>
      <c r="F74" s="34" t="s">
        <v>127</v>
      </c>
      <c r="G74" s="35">
        <v>49.4</v>
      </c>
      <c r="H74" s="36">
        <v>20.99</v>
      </c>
      <c r="I74" s="28">
        <v>30.85</v>
      </c>
      <c r="J74" s="39">
        <f t="shared" si="5"/>
        <v>647.54149999999993</v>
      </c>
      <c r="K74" s="40">
        <f t="shared" si="6"/>
        <v>-30.85</v>
      </c>
      <c r="O74" s="49"/>
      <c r="P74" s="49"/>
    </row>
    <row r="75" spans="1:16" x14ac:dyDescent="0.35">
      <c r="A75" s="28">
        <v>79.55</v>
      </c>
      <c r="B75" s="14"/>
      <c r="C75" s="14"/>
      <c r="D75" s="14"/>
      <c r="E75" s="14"/>
      <c r="F75" s="34" t="s">
        <v>70</v>
      </c>
      <c r="G75" s="35">
        <v>50.65</v>
      </c>
      <c r="H75" s="36"/>
      <c r="I75" s="28">
        <f>28.65+50.8</f>
        <v>79.449999999999989</v>
      </c>
      <c r="J75" s="39">
        <f t="shared" si="5"/>
        <v>0</v>
      </c>
      <c r="K75" s="40">
        <f t="shared" si="6"/>
        <v>0.10000000000000853</v>
      </c>
      <c r="O75" s="49"/>
      <c r="P75" s="49"/>
    </row>
    <row r="76" spans="1:16" x14ac:dyDescent="0.35">
      <c r="A76" s="28">
        <v>94.4</v>
      </c>
      <c r="B76" s="14"/>
      <c r="C76" s="14"/>
      <c r="D76" s="14"/>
      <c r="E76" s="14"/>
      <c r="F76" s="34" t="s">
        <v>128</v>
      </c>
      <c r="G76" s="35">
        <v>50.45</v>
      </c>
      <c r="H76" s="36"/>
      <c r="I76" s="28">
        <f>44.95+50.35</f>
        <v>95.300000000000011</v>
      </c>
      <c r="J76" s="39">
        <f t="shared" si="5"/>
        <v>0</v>
      </c>
      <c r="K76" s="40">
        <f t="shared" si="6"/>
        <v>-0.90000000000000568</v>
      </c>
      <c r="O76" s="49"/>
      <c r="P76" s="49"/>
    </row>
    <row r="77" spans="1:16" x14ac:dyDescent="0.35">
      <c r="A77" s="28">
        <v>43.4</v>
      </c>
      <c r="B77" s="14"/>
      <c r="C77" s="14"/>
      <c r="D77" s="14"/>
      <c r="E77" s="14"/>
      <c r="F77" s="34" t="s">
        <v>67</v>
      </c>
      <c r="G77" s="35">
        <v>53.7</v>
      </c>
      <c r="H77" s="36"/>
      <c r="I77" s="28">
        <v>43.4</v>
      </c>
      <c r="J77" s="39">
        <f t="shared" si="5"/>
        <v>0</v>
      </c>
      <c r="K77" s="40">
        <f t="shared" si="6"/>
        <v>0</v>
      </c>
      <c r="O77" s="49"/>
      <c r="P77" s="49"/>
    </row>
    <row r="78" spans="1:16" x14ac:dyDescent="0.35">
      <c r="A78" s="28">
        <v>80</v>
      </c>
      <c r="B78" s="14"/>
      <c r="C78" s="14"/>
      <c r="D78" s="14"/>
      <c r="E78" s="14"/>
      <c r="F78" s="34" t="s">
        <v>131</v>
      </c>
      <c r="G78" s="35">
        <v>49.5</v>
      </c>
      <c r="H78" s="36"/>
      <c r="I78" s="28">
        <f>30.6+49.4</f>
        <v>80</v>
      </c>
      <c r="J78" s="39">
        <f t="shared" si="5"/>
        <v>0</v>
      </c>
      <c r="K78" s="40">
        <f t="shared" si="6"/>
        <v>0</v>
      </c>
      <c r="O78" s="49"/>
      <c r="P78" s="49"/>
    </row>
    <row r="79" spans="1:16" x14ac:dyDescent="0.35">
      <c r="A79" s="28">
        <v>108.15</v>
      </c>
      <c r="B79" s="14"/>
      <c r="C79" s="14"/>
      <c r="D79" s="14"/>
      <c r="E79" s="14"/>
      <c r="F79" s="34" t="s">
        <v>161</v>
      </c>
      <c r="G79" s="35">
        <v>59.45</v>
      </c>
      <c r="H79" s="36"/>
      <c r="I79" s="28">
        <f>59.5+35.8</f>
        <v>95.3</v>
      </c>
      <c r="J79" s="39">
        <f t="shared" si="5"/>
        <v>0</v>
      </c>
      <c r="K79" s="40">
        <f t="shared" si="6"/>
        <v>12.850000000000009</v>
      </c>
      <c r="O79" s="49"/>
      <c r="P79" s="49"/>
    </row>
    <row r="80" spans="1:16" x14ac:dyDescent="0.35">
      <c r="A80" s="28">
        <v>132.29999999999998</v>
      </c>
      <c r="B80" s="14"/>
      <c r="C80" s="14"/>
      <c r="D80" s="14"/>
      <c r="E80" s="14"/>
      <c r="F80" s="34" t="s">
        <v>133</v>
      </c>
      <c r="G80" s="35">
        <v>54.55</v>
      </c>
      <c r="H80" s="36"/>
      <c r="I80" s="28">
        <f>22.7+54.4+54.4</f>
        <v>131.5</v>
      </c>
      <c r="J80" s="39">
        <f t="shared" si="5"/>
        <v>0</v>
      </c>
      <c r="K80" s="40">
        <f t="shared" si="6"/>
        <v>0.79999999999998295</v>
      </c>
      <c r="O80" s="49"/>
      <c r="P80" s="49"/>
    </row>
    <row r="81" spans="1:16" x14ac:dyDescent="0.35">
      <c r="A81" s="28">
        <v>64.45</v>
      </c>
      <c r="B81" s="14"/>
      <c r="C81" s="14"/>
      <c r="D81" s="14"/>
      <c r="E81" s="14"/>
      <c r="F81" s="34" t="s">
        <v>185</v>
      </c>
      <c r="G81" s="35">
        <v>41.4</v>
      </c>
      <c r="H81" s="36"/>
      <c r="I81" s="28">
        <f>20.15+41.35</f>
        <v>61.5</v>
      </c>
      <c r="J81" s="39">
        <f t="shared" si="5"/>
        <v>0</v>
      </c>
      <c r="K81" s="40">
        <f t="shared" si="6"/>
        <v>2.9500000000000028</v>
      </c>
      <c r="O81" s="49"/>
      <c r="P81" s="49"/>
    </row>
    <row r="82" spans="1:16" x14ac:dyDescent="0.35">
      <c r="A82" s="28">
        <v>26.4</v>
      </c>
      <c r="B82" s="14"/>
      <c r="C82" s="14"/>
      <c r="D82" s="14"/>
      <c r="E82" s="14"/>
      <c r="F82" s="34" t="s">
        <v>186</v>
      </c>
      <c r="G82" s="35">
        <v>63.45</v>
      </c>
      <c r="H82" s="36"/>
      <c r="I82" s="28">
        <f>24.6+63.4</f>
        <v>88</v>
      </c>
      <c r="J82" s="39">
        <f t="shared" si="5"/>
        <v>0</v>
      </c>
      <c r="K82" s="40">
        <f t="shared" si="6"/>
        <v>-61.6</v>
      </c>
      <c r="O82" s="49"/>
      <c r="P82" s="49"/>
    </row>
    <row r="83" spans="1:16" x14ac:dyDescent="0.35">
      <c r="A83" s="28">
        <v>31.85</v>
      </c>
      <c r="B83" s="14"/>
      <c r="C83" s="14"/>
      <c r="D83" s="14"/>
      <c r="E83" s="14"/>
      <c r="F83" s="34" t="s">
        <v>137</v>
      </c>
      <c r="G83" s="35">
        <v>48.1</v>
      </c>
      <c r="H83" s="36"/>
      <c r="I83" s="28">
        <v>31.85</v>
      </c>
      <c r="J83" s="39">
        <f t="shared" si="5"/>
        <v>0</v>
      </c>
      <c r="K83" s="40">
        <f t="shared" si="6"/>
        <v>0</v>
      </c>
      <c r="O83" s="49"/>
      <c r="P83" s="49"/>
    </row>
    <row r="84" spans="1:16" x14ac:dyDescent="0.35">
      <c r="A84" s="28">
        <v>23.45</v>
      </c>
      <c r="B84" s="14"/>
      <c r="C84" s="14"/>
      <c r="D84" s="14"/>
      <c r="E84" s="14"/>
      <c r="F84" s="34" t="s">
        <v>132</v>
      </c>
      <c r="G84" s="35">
        <v>50.4</v>
      </c>
      <c r="H84" s="36"/>
      <c r="I84" s="28">
        <v>0</v>
      </c>
      <c r="J84" s="39">
        <f t="shared" si="5"/>
        <v>0</v>
      </c>
      <c r="K84" s="40">
        <f t="shared" si="6"/>
        <v>23.45</v>
      </c>
      <c r="O84" s="49"/>
      <c r="P84" s="49"/>
    </row>
    <row r="85" spans="1:16" x14ac:dyDescent="0.35">
      <c r="A85" s="28">
        <v>76.2</v>
      </c>
      <c r="B85" s="14"/>
      <c r="C85" s="14"/>
      <c r="D85" s="14"/>
      <c r="E85" s="14"/>
      <c r="F85" s="34" t="s">
        <v>136</v>
      </c>
      <c r="G85" s="35">
        <v>48</v>
      </c>
      <c r="H85" s="36"/>
      <c r="I85" s="28">
        <f>27.4+48.05</f>
        <v>75.449999999999989</v>
      </c>
      <c r="J85" s="39">
        <f t="shared" si="5"/>
        <v>0</v>
      </c>
      <c r="K85" s="40">
        <f t="shared" si="6"/>
        <v>0.75000000000001421</v>
      </c>
      <c r="O85" s="49"/>
      <c r="P85" s="49"/>
    </row>
    <row r="86" spans="1:16" x14ac:dyDescent="0.35">
      <c r="A86" s="28">
        <v>46.65</v>
      </c>
      <c r="B86" s="14"/>
      <c r="C86" s="14"/>
      <c r="D86" s="14"/>
      <c r="E86" s="14"/>
      <c r="F86" s="34" t="s">
        <v>222</v>
      </c>
      <c r="G86" s="35"/>
      <c r="H86" s="36"/>
      <c r="I86" s="28">
        <v>46.65</v>
      </c>
      <c r="J86" s="39">
        <f t="shared" si="5"/>
        <v>0</v>
      </c>
      <c r="K86" s="40">
        <f t="shared" si="6"/>
        <v>0</v>
      </c>
      <c r="O86" s="49"/>
      <c r="P86" s="49"/>
    </row>
    <row r="87" spans="1:16" x14ac:dyDescent="0.35">
      <c r="A87" s="28">
        <v>40.6</v>
      </c>
      <c r="B87" s="14"/>
      <c r="C87" s="14"/>
      <c r="D87" s="14"/>
      <c r="E87" s="14"/>
      <c r="F87" s="34" t="s">
        <v>187</v>
      </c>
      <c r="G87" s="35"/>
      <c r="H87" s="36"/>
      <c r="I87" s="28">
        <v>39.85</v>
      </c>
      <c r="J87" s="39">
        <f t="shared" si="5"/>
        <v>0</v>
      </c>
      <c r="K87" s="40">
        <f t="shared" si="6"/>
        <v>0.75</v>
      </c>
      <c r="O87" s="49"/>
      <c r="P87" s="49"/>
    </row>
    <row r="88" spans="1:16" x14ac:dyDescent="0.35">
      <c r="A88" s="28">
        <v>85.45</v>
      </c>
      <c r="B88" s="14"/>
      <c r="C88" s="14"/>
      <c r="D88" s="14"/>
      <c r="E88" s="14"/>
      <c r="F88" s="34" t="s">
        <v>177</v>
      </c>
      <c r="G88" s="35">
        <v>42.75</v>
      </c>
      <c r="H88" s="36"/>
      <c r="I88" s="28">
        <f>20.2+41.05</f>
        <v>61.25</v>
      </c>
      <c r="J88" s="39">
        <f t="shared" si="5"/>
        <v>0</v>
      </c>
      <c r="K88" s="40">
        <f t="shared" si="6"/>
        <v>24.200000000000003</v>
      </c>
      <c r="O88" s="49"/>
      <c r="P88" s="49"/>
    </row>
    <row r="89" spans="1:16" x14ac:dyDescent="0.35">
      <c r="A89" s="28">
        <v>22.1</v>
      </c>
      <c r="B89" s="14"/>
      <c r="C89" s="14"/>
      <c r="D89" s="14"/>
      <c r="E89" s="14"/>
      <c r="F89" s="34" t="s">
        <v>189</v>
      </c>
      <c r="G89" s="35">
        <v>42.35</v>
      </c>
      <c r="H89" s="36"/>
      <c r="I89" s="28">
        <v>22.1</v>
      </c>
      <c r="J89" s="39">
        <f t="shared" si="5"/>
        <v>0</v>
      </c>
      <c r="K89" s="40">
        <f t="shared" si="6"/>
        <v>0</v>
      </c>
      <c r="O89" s="49"/>
      <c r="P89" s="49"/>
    </row>
    <row r="90" spans="1:16" x14ac:dyDescent="0.35">
      <c r="A90" s="28">
        <v>78.2</v>
      </c>
      <c r="B90" s="14"/>
      <c r="C90" s="14"/>
      <c r="D90" s="14"/>
      <c r="E90" s="14"/>
      <c r="F90" s="34" t="s">
        <v>190</v>
      </c>
      <c r="G90" s="35">
        <v>41.15</v>
      </c>
      <c r="H90" s="36"/>
      <c r="I90" s="28">
        <f>36.65+42.75</f>
        <v>79.400000000000006</v>
      </c>
      <c r="J90" s="39">
        <f t="shared" si="5"/>
        <v>0</v>
      </c>
      <c r="K90" s="40">
        <f t="shared" ref="K90:K95" si="7">(SUM(A90:E90))-I90</f>
        <v>-1.2000000000000028</v>
      </c>
      <c r="O90" s="49"/>
      <c r="P90" s="49"/>
    </row>
    <row r="91" spans="1:16" x14ac:dyDescent="0.35">
      <c r="A91" s="28">
        <v>20.2</v>
      </c>
      <c r="B91" s="14"/>
      <c r="C91" s="14"/>
      <c r="D91" s="14"/>
      <c r="E91" s="14"/>
      <c r="F91" s="34" t="s">
        <v>191</v>
      </c>
      <c r="G91" s="35">
        <v>42.75</v>
      </c>
      <c r="H91" s="36"/>
      <c r="I91" s="28">
        <v>0</v>
      </c>
      <c r="J91" s="39">
        <f t="shared" si="5"/>
        <v>0</v>
      </c>
      <c r="K91" s="40">
        <f t="shared" si="7"/>
        <v>20.2</v>
      </c>
      <c r="O91" s="49"/>
      <c r="P91" s="49"/>
    </row>
    <row r="92" spans="1:16" x14ac:dyDescent="0.35">
      <c r="A92" s="28">
        <v>32.15</v>
      </c>
      <c r="B92" s="14"/>
      <c r="C92" s="14"/>
      <c r="D92" s="14"/>
      <c r="E92" s="14"/>
      <c r="F92" s="34" t="s">
        <v>192</v>
      </c>
      <c r="G92" s="35">
        <v>43.55</v>
      </c>
      <c r="H92" s="36"/>
      <c r="I92" s="28">
        <v>26.5</v>
      </c>
      <c r="J92" s="39">
        <f t="shared" si="5"/>
        <v>0</v>
      </c>
      <c r="K92" s="40">
        <f t="shared" si="7"/>
        <v>5.6499999999999986</v>
      </c>
      <c r="O92" s="49"/>
      <c r="P92" s="49"/>
    </row>
    <row r="93" spans="1:16" x14ac:dyDescent="0.35">
      <c r="A93" s="28">
        <v>34.9</v>
      </c>
      <c r="B93" s="14"/>
      <c r="C93" s="14"/>
      <c r="D93" s="14"/>
      <c r="E93" s="14"/>
      <c r="F93" s="34" t="s">
        <v>193</v>
      </c>
      <c r="G93" s="35">
        <v>44.15</v>
      </c>
      <c r="H93" s="36"/>
      <c r="I93" s="28">
        <v>32.15</v>
      </c>
      <c r="J93" s="39">
        <f t="shared" si="5"/>
        <v>0</v>
      </c>
      <c r="K93" s="40">
        <f t="shared" si="7"/>
        <v>2.75</v>
      </c>
      <c r="O93" s="49"/>
      <c r="P93" s="49"/>
    </row>
    <row r="94" spans="1:16" x14ac:dyDescent="0.35">
      <c r="A94" s="28">
        <v>27.65</v>
      </c>
      <c r="B94" s="14"/>
      <c r="C94" s="14"/>
      <c r="D94" s="14"/>
      <c r="E94" s="14"/>
      <c r="F94" s="34" t="s">
        <v>195</v>
      </c>
      <c r="G94" s="35">
        <v>48.1</v>
      </c>
      <c r="H94" s="36"/>
      <c r="I94" s="28">
        <f>48.1+48.1+41.65</f>
        <v>137.85</v>
      </c>
      <c r="J94" s="39">
        <f t="shared" si="5"/>
        <v>0</v>
      </c>
      <c r="K94" s="40">
        <f t="shared" si="7"/>
        <v>-110.19999999999999</v>
      </c>
      <c r="O94" s="49"/>
      <c r="P94" s="49"/>
    </row>
    <row r="95" spans="1:16" x14ac:dyDescent="0.35">
      <c r="A95" s="28">
        <v>18.25</v>
      </c>
      <c r="B95" s="14"/>
      <c r="C95" s="14"/>
      <c r="D95" s="14"/>
      <c r="E95" s="14"/>
      <c r="F95" s="34" t="s">
        <v>194</v>
      </c>
      <c r="G95" s="35">
        <v>42.8</v>
      </c>
      <c r="H95" s="36"/>
      <c r="I95" s="28">
        <f>18.25+42.8</f>
        <v>61.05</v>
      </c>
      <c r="J95" s="39">
        <f t="shared" si="5"/>
        <v>0</v>
      </c>
      <c r="K95" s="40">
        <f t="shared" si="7"/>
        <v>-42.8</v>
      </c>
      <c r="O95" s="49"/>
      <c r="P95" s="49"/>
    </row>
    <row r="96" spans="1:16" ht="15" thickBot="1" x14ac:dyDescent="0.4">
      <c r="A96" s="28">
        <v>81.599999999999994</v>
      </c>
      <c r="B96" s="14"/>
      <c r="C96" s="14"/>
      <c r="D96" s="14"/>
      <c r="E96" s="14"/>
      <c r="F96" s="34" t="s">
        <v>188</v>
      </c>
      <c r="G96" s="35">
        <v>53.9</v>
      </c>
      <c r="H96" s="36"/>
      <c r="I96" s="28">
        <v>53.85</v>
      </c>
      <c r="J96" s="39">
        <f t="shared" si="5"/>
        <v>0</v>
      </c>
      <c r="K96" s="40">
        <f t="shared" si="6"/>
        <v>27.749999999999993</v>
      </c>
      <c r="O96" s="49"/>
      <c r="P96" s="49"/>
    </row>
    <row r="97" spans="1:16" ht="17.25" customHeight="1" thickBot="1" x14ac:dyDescent="0.6">
      <c r="A97" s="84" t="s">
        <v>9</v>
      </c>
      <c r="B97" s="85"/>
      <c r="C97" s="85"/>
      <c r="D97" s="85"/>
      <c r="E97" s="85"/>
      <c r="F97" s="85"/>
      <c r="G97" s="85"/>
      <c r="H97" s="85"/>
      <c r="I97" s="86"/>
      <c r="J97" s="87"/>
      <c r="K97" s="88"/>
      <c r="O97" s="49"/>
      <c r="P97" s="49"/>
    </row>
    <row r="98" spans="1:16" ht="24" thickBot="1" x14ac:dyDescent="0.6">
      <c r="A98" s="84" t="s">
        <v>139</v>
      </c>
      <c r="B98" s="85"/>
      <c r="C98" s="85"/>
      <c r="D98" s="85"/>
      <c r="E98" s="85"/>
      <c r="F98" s="85"/>
      <c r="G98" s="85"/>
      <c r="H98" s="85"/>
      <c r="I98" s="86"/>
      <c r="J98" s="89">
        <v>0</v>
      </c>
      <c r="K98" s="90"/>
    </row>
    <row r="99" spans="1:16" ht="24" thickBot="1" x14ac:dyDescent="0.6">
      <c r="A99" s="84" t="s">
        <v>55</v>
      </c>
      <c r="B99" s="85"/>
      <c r="C99" s="85"/>
      <c r="D99" s="85"/>
      <c r="E99" s="85"/>
      <c r="F99" s="85"/>
      <c r="G99" s="85"/>
      <c r="H99" s="85"/>
      <c r="I99" s="86"/>
      <c r="J99" s="89">
        <v>0</v>
      </c>
      <c r="K99" s="90"/>
    </row>
    <row r="100" spans="1:16" ht="24" thickBot="1" x14ac:dyDescent="0.6">
      <c r="A100" s="84" t="s">
        <v>11</v>
      </c>
      <c r="B100" s="85"/>
      <c r="C100" s="85"/>
      <c r="D100" s="85"/>
      <c r="E100" s="85"/>
      <c r="F100" s="85"/>
      <c r="G100" s="85"/>
      <c r="H100" s="85"/>
      <c r="I100" s="86"/>
      <c r="J100" s="87">
        <f>SUM(J65:J96)</f>
        <v>2817.4419999999996</v>
      </c>
      <c r="K100" s="88"/>
    </row>
    <row r="101" spans="1:16" ht="24" thickBot="1" x14ac:dyDescent="0.6">
      <c r="A101" s="84" t="s">
        <v>140</v>
      </c>
      <c r="B101" s="85"/>
      <c r="C101" s="85"/>
      <c r="D101" s="85"/>
      <c r="E101" s="85"/>
      <c r="F101" s="85"/>
      <c r="G101" s="85"/>
      <c r="H101" s="85"/>
      <c r="I101" s="86"/>
      <c r="J101" s="89">
        <v>1739.25</v>
      </c>
      <c r="K101" s="90"/>
      <c r="O101" s="49"/>
      <c r="P101" s="49"/>
    </row>
    <row r="102" spans="1:16" ht="24" thickBot="1" x14ac:dyDescent="0.6">
      <c r="A102" s="84" t="s">
        <v>141</v>
      </c>
      <c r="B102" s="85"/>
      <c r="C102" s="85"/>
      <c r="D102" s="85"/>
      <c r="E102" s="85"/>
      <c r="F102" s="85"/>
      <c r="G102" s="85"/>
      <c r="H102" s="85"/>
      <c r="I102" s="86"/>
      <c r="J102" s="87">
        <f>J97+J98+J99-J100</f>
        <v>-2817.4419999999996</v>
      </c>
      <c r="K102" s="88"/>
      <c r="O102" s="49"/>
      <c r="P102" s="49"/>
    </row>
    <row r="103" spans="1:16" ht="24" thickBot="1" x14ac:dyDescent="0.6">
      <c r="A103" s="109" t="s">
        <v>142</v>
      </c>
      <c r="B103" s="110"/>
      <c r="C103" s="110"/>
      <c r="D103" s="110"/>
      <c r="E103" s="110"/>
      <c r="F103" s="110"/>
      <c r="G103" s="110"/>
      <c r="H103" s="110"/>
      <c r="I103" s="111"/>
      <c r="J103" s="112">
        <f>J102/J101</f>
        <v>-1.61991778065258</v>
      </c>
      <c r="K103" s="113"/>
      <c r="O103" s="49"/>
      <c r="P103" s="49"/>
    </row>
    <row r="104" spans="1:16" ht="24" thickBot="1" x14ac:dyDescent="0.6">
      <c r="A104" s="109" t="s">
        <v>56</v>
      </c>
      <c r="B104" s="110"/>
      <c r="C104" s="110"/>
      <c r="D104" s="110"/>
      <c r="E104" s="110"/>
      <c r="F104" s="110"/>
      <c r="G104" s="110"/>
      <c r="H104" s="110"/>
      <c r="I104" s="111"/>
      <c r="J104" s="112" t="e">
        <f>((G186+G187+G189-J100)/G188)</f>
        <v>#REF!</v>
      </c>
      <c r="K104" s="113"/>
      <c r="O104" s="49"/>
      <c r="P104" s="49"/>
    </row>
    <row r="105" spans="1:16" ht="15" thickBot="1" x14ac:dyDescent="0.4">
      <c r="A105" s="62"/>
      <c r="B105" s="15"/>
      <c r="C105" s="15"/>
      <c r="D105" s="15"/>
      <c r="E105" s="15"/>
      <c r="F105" s="34"/>
      <c r="G105" s="35" t="e">
        <f>#REF!</f>
        <v>#REF!</v>
      </c>
      <c r="H105" s="36"/>
      <c r="I105" s="28"/>
      <c r="J105" s="39">
        <f t="shared" ref="J105" si="8">I105*H105</f>
        <v>0</v>
      </c>
      <c r="K105" s="40">
        <f t="shared" ref="K105" si="9">(SUM(A105:E105))-I105</f>
        <v>0</v>
      </c>
      <c r="O105" s="49"/>
      <c r="P105" s="49"/>
    </row>
    <row r="106" spans="1:16" x14ac:dyDescent="0.35">
      <c r="A106" s="145" t="s">
        <v>0</v>
      </c>
      <c r="B106" s="147" t="s">
        <v>1</v>
      </c>
      <c r="C106" s="148"/>
      <c r="D106" s="148"/>
      <c r="E106" s="149"/>
      <c r="F106" s="102" t="s">
        <v>2</v>
      </c>
      <c r="G106" s="102" t="s">
        <v>3</v>
      </c>
      <c r="H106" s="102" t="s">
        <v>4</v>
      </c>
      <c r="I106" s="102" t="s">
        <v>5</v>
      </c>
      <c r="J106" s="102" t="s">
        <v>6</v>
      </c>
      <c r="K106" s="104" t="s">
        <v>7</v>
      </c>
      <c r="O106" s="49"/>
      <c r="P106" s="49"/>
    </row>
    <row r="107" spans="1:16" x14ac:dyDescent="0.35">
      <c r="A107" s="146"/>
      <c r="B107" s="27">
        <v>1</v>
      </c>
      <c r="C107" s="27">
        <v>2</v>
      </c>
      <c r="D107" s="27">
        <v>3</v>
      </c>
      <c r="E107" s="27">
        <v>4</v>
      </c>
      <c r="F107" s="103"/>
      <c r="G107" s="103"/>
      <c r="H107" s="103"/>
      <c r="I107" s="103"/>
      <c r="J107" s="103"/>
      <c r="K107" s="105"/>
      <c r="O107" s="49"/>
      <c r="P107" s="49"/>
    </row>
    <row r="108" spans="1:16" ht="23.5" x14ac:dyDescent="0.55000000000000004">
      <c r="A108" s="106" t="s">
        <v>15</v>
      </c>
      <c r="B108" s="107"/>
      <c r="C108" s="107"/>
      <c r="D108" s="107"/>
      <c r="E108" s="107"/>
      <c r="F108" s="107"/>
      <c r="G108" s="107"/>
      <c r="H108" s="107"/>
      <c r="I108" s="107"/>
      <c r="J108" s="107"/>
      <c r="K108" s="108"/>
      <c r="O108" s="49"/>
      <c r="P108" s="49"/>
    </row>
    <row r="109" spans="1:16" x14ac:dyDescent="0.35">
      <c r="A109" s="28">
        <v>27</v>
      </c>
      <c r="B109" s="14"/>
      <c r="C109" s="14"/>
      <c r="D109" s="14"/>
      <c r="E109" s="14"/>
      <c r="F109" s="34" t="s">
        <v>104</v>
      </c>
      <c r="G109" s="35" t="e">
        <f>#REF!</f>
        <v>#REF!</v>
      </c>
      <c r="H109" s="36">
        <v>2.06</v>
      </c>
      <c r="I109" s="28">
        <f>13+3</f>
        <v>16</v>
      </c>
      <c r="J109" s="39">
        <f>I109*H109</f>
        <v>32.96</v>
      </c>
      <c r="K109" s="40">
        <f>(SUM(A109:E109))-I109</f>
        <v>11</v>
      </c>
      <c r="O109" s="49"/>
      <c r="P109" s="49"/>
    </row>
    <row r="110" spans="1:16" x14ac:dyDescent="0.35">
      <c r="A110" s="17">
        <v>9</v>
      </c>
      <c r="B110" s="15"/>
      <c r="C110" s="15"/>
      <c r="D110" s="15"/>
      <c r="E110" s="15"/>
      <c r="F110" s="34" t="s">
        <v>103</v>
      </c>
      <c r="G110" s="35" t="e">
        <f>#REF!</f>
        <v>#REF!</v>
      </c>
      <c r="H110" s="36">
        <v>2.06</v>
      </c>
      <c r="I110" s="17">
        <f>12+7+15</f>
        <v>34</v>
      </c>
      <c r="J110" s="39">
        <f t="shared" ref="J110:J124" si="10">I110*H110</f>
        <v>70.040000000000006</v>
      </c>
      <c r="K110" s="40">
        <f t="shared" ref="K110:K124" si="11">(SUM(A110:E110))-I110</f>
        <v>-25</v>
      </c>
      <c r="O110" s="49"/>
      <c r="P110" s="49"/>
    </row>
    <row r="111" spans="1:16" x14ac:dyDescent="0.35">
      <c r="A111" s="17">
        <v>1</v>
      </c>
      <c r="B111" s="15"/>
      <c r="C111" s="15"/>
      <c r="D111" s="15"/>
      <c r="E111" s="15"/>
      <c r="F111" s="34" t="s">
        <v>100</v>
      </c>
      <c r="G111" s="35" t="e">
        <f>#REF!</f>
        <v>#REF!</v>
      </c>
      <c r="H111" s="36">
        <v>1.82</v>
      </c>
      <c r="I111" s="17">
        <f>2+6</f>
        <v>8</v>
      </c>
      <c r="J111" s="39">
        <f t="shared" si="10"/>
        <v>14.56</v>
      </c>
      <c r="K111" s="40">
        <f t="shared" si="11"/>
        <v>-7</v>
      </c>
      <c r="O111" s="49"/>
      <c r="P111" s="49"/>
    </row>
    <row r="112" spans="1:16" x14ac:dyDescent="0.35">
      <c r="A112" s="17">
        <v>18</v>
      </c>
      <c r="B112" s="15"/>
      <c r="C112" s="15"/>
      <c r="D112" s="15"/>
      <c r="E112" s="15"/>
      <c r="F112" s="34" t="s">
        <v>106</v>
      </c>
      <c r="G112" s="35" t="e">
        <f>#REF!</f>
        <v>#REF!</v>
      </c>
      <c r="H112" s="36">
        <v>2.5</v>
      </c>
      <c r="I112" s="17">
        <f>14+2+8+12</f>
        <v>36</v>
      </c>
      <c r="J112" s="39">
        <f t="shared" si="10"/>
        <v>90</v>
      </c>
      <c r="K112" s="40">
        <f t="shared" si="11"/>
        <v>-18</v>
      </c>
      <c r="O112" s="49"/>
      <c r="P112" s="49"/>
    </row>
    <row r="113" spans="1:16" x14ac:dyDescent="0.35">
      <c r="A113" s="17">
        <v>7</v>
      </c>
      <c r="B113" s="15"/>
      <c r="C113" s="15"/>
      <c r="D113" s="15"/>
      <c r="E113" s="15"/>
      <c r="F113" s="34" t="s">
        <v>175</v>
      </c>
      <c r="G113" s="35">
        <v>1</v>
      </c>
      <c r="H113" s="36">
        <v>2</v>
      </c>
      <c r="I113" s="17">
        <f>18</f>
        <v>18</v>
      </c>
      <c r="J113" s="39">
        <f t="shared" si="10"/>
        <v>36</v>
      </c>
      <c r="K113" s="40">
        <f t="shared" si="11"/>
        <v>-11</v>
      </c>
      <c r="O113" s="49"/>
      <c r="P113" s="49"/>
    </row>
    <row r="114" spans="1:16" x14ac:dyDescent="0.35">
      <c r="A114" s="17"/>
      <c r="B114" s="15"/>
      <c r="C114" s="15"/>
      <c r="D114" s="15"/>
      <c r="E114" s="15"/>
      <c r="F114" s="34" t="s">
        <v>16</v>
      </c>
      <c r="G114" s="35" t="e">
        <f>#REF!</f>
        <v>#REF!</v>
      </c>
      <c r="H114" s="36">
        <v>2.2000000000000002</v>
      </c>
      <c r="I114" s="17">
        <v>0</v>
      </c>
      <c r="J114" s="39">
        <f t="shared" si="10"/>
        <v>0</v>
      </c>
      <c r="K114" s="40">
        <f t="shared" si="11"/>
        <v>0</v>
      </c>
      <c r="O114" s="49"/>
      <c r="P114" s="49"/>
    </row>
    <row r="115" spans="1:16" x14ac:dyDescent="0.35">
      <c r="A115" s="17">
        <v>10</v>
      </c>
      <c r="B115" s="15"/>
      <c r="C115" s="15"/>
      <c r="D115" s="15"/>
      <c r="E115" s="15"/>
      <c r="F115" s="34" t="s">
        <v>17</v>
      </c>
      <c r="G115" s="35" t="e">
        <f>#REF!</f>
        <v>#REF!</v>
      </c>
      <c r="H115" s="36">
        <v>3</v>
      </c>
      <c r="I115" s="17">
        <v>20</v>
      </c>
      <c r="J115" s="39">
        <f t="shared" si="10"/>
        <v>60</v>
      </c>
      <c r="K115" s="40">
        <f t="shared" si="11"/>
        <v>-10</v>
      </c>
      <c r="O115" s="49"/>
      <c r="P115" s="49"/>
    </row>
    <row r="116" spans="1:16" x14ac:dyDescent="0.35">
      <c r="A116" s="17">
        <v>24</v>
      </c>
      <c r="B116" s="15"/>
      <c r="C116" s="15"/>
      <c r="D116" s="15"/>
      <c r="E116" s="15"/>
      <c r="F116" s="34" t="s">
        <v>105</v>
      </c>
      <c r="G116" s="35" t="e">
        <f>#REF!</f>
        <v>#REF!</v>
      </c>
      <c r="H116" s="36">
        <v>2.14</v>
      </c>
      <c r="I116" s="17">
        <f>13+7+20</f>
        <v>40</v>
      </c>
      <c r="J116" s="39">
        <f t="shared" si="10"/>
        <v>85.600000000000009</v>
      </c>
      <c r="K116" s="40">
        <f t="shared" si="11"/>
        <v>-16</v>
      </c>
      <c r="O116" s="49"/>
      <c r="P116" s="49"/>
    </row>
    <row r="117" spans="1:16" x14ac:dyDescent="0.35">
      <c r="A117" s="31">
        <v>19</v>
      </c>
      <c r="B117" s="15"/>
      <c r="C117" s="15"/>
      <c r="D117" s="15"/>
      <c r="E117" s="15"/>
      <c r="F117" s="34" t="s">
        <v>102</v>
      </c>
      <c r="G117" s="35" t="e">
        <f>#REF!</f>
        <v>#REF!</v>
      </c>
      <c r="H117" s="36">
        <v>2.06</v>
      </c>
      <c r="I117" s="31">
        <f>14+29+15</f>
        <v>58</v>
      </c>
      <c r="J117" s="39">
        <f t="shared" si="10"/>
        <v>119.48</v>
      </c>
      <c r="K117" s="40">
        <f t="shared" si="11"/>
        <v>-39</v>
      </c>
      <c r="O117" s="49"/>
      <c r="P117" s="49"/>
    </row>
    <row r="118" spans="1:16" x14ac:dyDescent="0.35">
      <c r="A118" s="17">
        <v>30</v>
      </c>
      <c r="B118" s="15"/>
      <c r="C118" s="15"/>
      <c r="D118" s="15"/>
      <c r="E118" s="15"/>
      <c r="F118" s="34" t="s">
        <v>44</v>
      </c>
      <c r="G118" s="35" t="e">
        <f>#REF!</f>
        <v>#REF!</v>
      </c>
      <c r="H118" s="36">
        <v>2.08</v>
      </c>
      <c r="I118" s="17">
        <f>14+17</f>
        <v>31</v>
      </c>
      <c r="J118" s="39">
        <f t="shared" si="10"/>
        <v>64.48</v>
      </c>
      <c r="K118" s="40">
        <f t="shared" si="11"/>
        <v>-1</v>
      </c>
      <c r="O118" s="49"/>
      <c r="P118" s="49"/>
    </row>
    <row r="119" spans="1:16" x14ac:dyDescent="0.35">
      <c r="A119" s="17">
        <v>26</v>
      </c>
      <c r="B119" s="15"/>
      <c r="C119" s="15"/>
      <c r="D119" s="15"/>
      <c r="E119" s="15"/>
      <c r="F119" s="34" t="s">
        <v>107</v>
      </c>
      <c r="G119" s="35" t="e">
        <f>#REF!</f>
        <v>#REF!</v>
      </c>
      <c r="H119" s="36">
        <v>2.33</v>
      </c>
      <c r="I119" s="17">
        <f>14+30</f>
        <v>44</v>
      </c>
      <c r="J119" s="39">
        <f t="shared" si="10"/>
        <v>102.52000000000001</v>
      </c>
      <c r="K119" s="40">
        <f t="shared" si="11"/>
        <v>-18</v>
      </c>
      <c r="O119" s="49"/>
      <c r="P119" s="49"/>
    </row>
    <row r="120" spans="1:16" x14ac:dyDescent="0.35">
      <c r="A120" s="17">
        <v>43</v>
      </c>
      <c r="B120" s="15"/>
      <c r="C120" s="15"/>
      <c r="D120" s="15"/>
      <c r="E120" s="15"/>
      <c r="F120" s="34" t="s">
        <v>101</v>
      </c>
      <c r="G120" s="35" t="e">
        <f>#REF!</f>
        <v>#REF!</v>
      </c>
      <c r="H120" s="36">
        <v>1.82</v>
      </c>
      <c r="I120" s="17">
        <f>13+17</f>
        <v>30</v>
      </c>
      <c r="J120" s="39">
        <f t="shared" si="10"/>
        <v>54.6</v>
      </c>
      <c r="K120" s="40">
        <f t="shared" si="11"/>
        <v>13</v>
      </c>
      <c r="O120" s="49"/>
      <c r="P120" s="49"/>
    </row>
    <row r="121" spans="1:16" x14ac:dyDescent="0.35">
      <c r="A121" s="17">
        <v>24</v>
      </c>
      <c r="B121" s="15"/>
      <c r="C121" s="15"/>
      <c r="D121" s="15"/>
      <c r="E121" s="15"/>
      <c r="F121" s="34" t="s">
        <v>108</v>
      </c>
      <c r="G121" s="35" t="e">
        <f>#REF!</f>
        <v>#REF!</v>
      </c>
      <c r="H121" s="36">
        <v>1.5</v>
      </c>
      <c r="I121" s="17">
        <v>28</v>
      </c>
      <c r="J121" s="39">
        <f t="shared" si="10"/>
        <v>42</v>
      </c>
      <c r="K121" s="40">
        <f t="shared" si="11"/>
        <v>-4</v>
      </c>
      <c r="O121" s="49"/>
      <c r="P121" s="49"/>
    </row>
    <row r="122" spans="1:16" x14ac:dyDescent="0.35">
      <c r="A122" s="17"/>
      <c r="B122" s="15"/>
      <c r="C122" s="15"/>
      <c r="D122" s="15"/>
      <c r="E122" s="15"/>
      <c r="F122" s="34" t="s">
        <v>18</v>
      </c>
      <c r="G122" s="35" t="e">
        <f>#REF!</f>
        <v>#REF!</v>
      </c>
      <c r="H122" s="36">
        <v>2.1</v>
      </c>
      <c r="I122" s="17">
        <f>14+7</f>
        <v>21</v>
      </c>
      <c r="J122" s="39">
        <f t="shared" si="10"/>
        <v>44.1</v>
      </c>
      <c r="K122" s="40">
        <f t="shared" si="11"/>
        <v>-21</v>
      </c>
      <c r="O122" s="49"/>
      <c r="P122" s="49"/>
    </row>
    <row r="123" spans="1:16" x14ac:dyDescent="0.35">
      <c r="A123" s="17">
        <v>16</v>
      </c>
      <c r="B123" s="15"/>
      <c r="C123" s="15"/>
      <c r="D123" s="15"/>
      <c r="E123" s="15"/>
      <c r="F123" s="34" t="s">
        <v>99</v>
      </c>
      <c r="G123" s="35" t="e">
        <f>#REF!</f>
        <v>#REF!</v>
      </c>
      <c r="H123" s="36">
        <v>2.41</v>
      </c>
      <c r="I123" s="17">
        <f>13</f>
        <v>13</v>
      </c>
      <c r="J123" s="39">
        <f t="shared" si="10"/>
        <v>31.330000000000002</v>
      </c>
      <c r="K123" s="40">
        <f t="shared" si="11"/>
        <v>3</v>
      </c>
      <c r="O123" s="49"/>
      <c r="P123" s="49"/>
    </row>
    <row r="124" spans="1:16" ht="20.149999999999999" customHeight="1" x14ac:dyDescent="0.35">
      <c r="A124" s="17">
        <v>25</v>
      </c>
      <c r="B124" s="15"/>
      <c r="C124" s="15"/>
      <c r="D124" s="15"/>
      <c r="E124" s="15"/>
      <c r="F124" s="34" t="s">
        <v>19</v>
      </c>
      <c r="G124" s="35" t="e">
        <f>#REF!</f>
        <v>#REF!</v>
      </c>
      <c r="H124" s="36">
        <v>2.5499999999999998</v>
      </c>
      <c r="I124" s="17">
        <v>19</v>
      </c>
      <c r="J124" s="39">
        <f t="shared" si="10"/>
        <v>48.449999999999996</v>
      </c>
      <c r="K124" s="40">
        <f t="shared" si="11"/>
        <v>6</v>
      </c>
    </row>
    <row r="125" spans="1:16" ht="20.149999999999999" customHeight="1" x14ac:dyDescent="0.35">
      <c r="A125" s="91" t="s">
        <v>117</v>
      </c>
      <c r="B125" s="92"/>
      <c r="C125" s="92"/>
      <c r="D125" s="92"/>
      <c r="E125" s="92"/>
      <c r="F125" s="92"/>
      <c r="G125" s="92"/>
      <c r="H125" s="92"/>
      <c r="I125" s="92"/>
      <c r="J125" s="92"/>
      <c r="K125" s="93"/>
    </row>
    <row r="126" spans="1:16" ht="20.149999999999999" customHeight="1" x14ac:dyDescent="0.35">
      <c r="A126" s="62"/>
      <c r="B126" s="15"/>
      <c r="C126" s="15"/>
      <c r="D126" s="15"/>
      <c r="E126" s="15"/>
      <c r="F126" s="34" t="s">
        <v>116</v>
      </c>
      <c r="G126" s="35" t="e">
        <f>#REF!</f>
        <v>#REF!</v>
      </c>
      <c r="H126" s="36">
        <v>2.7</v>
      </c>
      <c r="I126" s="17">
        <v>0</v>
      </c>
      <c r="J126" s="39">
        <f t="shared" ref="J126:J131" si="12">I126*H126</f>
        <v>0</v>
      </c>
      <c r="K126" s="40">
        <f t="shared" ref="K126:K134" si="13">(SUM(A126:E126))-I126</f>
        <v>0</v>
      </c>
    </row>
    <row r="127" spans="1:16" ht="20.149999999999999" customHeight="1" x14ac:dyDescent="0.35">
      <c r="A127" s="62"/>
      <c r="B127" s="15"/>
      <c r="C127" s="15"/>
      <c r="D127" s="15"/>
      <c r="E127" s="15"/>
      <c r="F127" s="34" t="s">
        <v>115</v>
      </c>
      <c r="G127" s="35" t="e">
        <f>#REF!</f>
        <v>#REF!</v>
      </c>
      <c r="H127" s="36">
        <v>3.12</v>
      </c>
      <c r="I127" s="17">
        <v>6</v>
      </c>
      <c r="J127" s="39">
        <f t="shared" si="12"/>
        <v>18.72</v>
      </c>
      <c r="K127" s="40">
        <f t="shared" si="13"/>
        <v>-6</v>
      </c>
    </row>
    <row r="128" spans="1:16" ht="20.149999999999999" customHeight="1" x14ac:dyDescent="0.35">
      <c r="A128" s="62"/>
      <c r="B128" s="15"/>
      <c r="C128" s="15"/>
      <c r="D128" s="15"/>
      <c r="E128" s="15"/>
      <c r="F128" s="34" t="s">
        <v>114</v>
      </c>
      <c r="G128" s="35" t="e">
        <f>#REF!</f>
        <v>#REF!</v>
      </c>
      <c r="H128" s="36">
        <v>2.4900000000000002</v>
      </c>
      <c r="I128" s="17">
        <v>0</v>
      </c>
      <c r="J128" s="39">
        <f t="shared" si="12"/>
        <v>0</v>
      </c>
      <c r="K128" s="40">
        <f t="shared" si="13"/>
        <v>0</v>
      </c>
    </row>
    <row r="129" spans="1:11" ht="20.149999999999999" customHeight="1" x14ac:dyDescent="0.35">
      <c r="A129" s="62"/>
      <c r="B129" s="15"/>
      <c r="C129" s="15"/>
      <c r="D129" s="15"/>
      <c r="E129" s="15"/>
      <c r="F129" s="34" t="s">
        <v>109</v>
      </c>
      <c r="G129" s="35" t="e">
        <f>#REF!</f>
        <v>#REF!</v>
      </c>
      <c r="H129" s="36">
        <v>2.7</v>
      </c>
      <c r="I129" s="17">
        <v>4</v>
      </c>
      <c r="J129" s="39">
        <f t="shared" si="12"/>
        <v>10.8</v>
      </c>
      <c r="K129" s="40">
        <f t="shared" si="13"/>
        <v>-4</v>
      </c>
    </row>
    <row r="130" spans="1:11" ht="20.149999999999999" customHeight="1" x14ac:dyDescent="0.35">
      <c r="A130" s="62"/>
      <c r="B130" s="15"/>
      <c r="C130" s="15"/>
      <c r="D130" s="15"/>
      <c r="E130" s="15"/>
      <c r="F130" s="34" t="s">
        <v>110</v>
      </c>
      <c r="G130" s="35" t="e">
        <f>#REF!</f>
        <v>#REF!</v>
      </c>
      <c r="H130" s="36">
        <v>2.7</v>
      </c>
      <c r="I130" s="17">
        <v>5</v>
      </c>
      <c r="J130" s="39">
        <f t="shared" si="12"/>
        <v>13.5</v>
      </c>
      <c r="K130" s="40">
        <f t="shared" si="13"/>
        <v>-5</v>
      </c>
    </row>
    <row r="131" spans="1:11" ht="20.149999999999999" customHeight="1" x14ac:dyDescent="0.35">
      <c r="A131" s="62"/>
      <c r="B131" s="15"/>
      <c r="C131" s="15"/>
      <c r="D131" s="15"/>
      <c r="E131" s="15"/>
      <c r="F131" s="34" t="s">
        <v>111</v>
      </c>
      <c r="G131" s="35" t="e">
        <f>#REF!</f>
        <v>#REF!</v>
      </c>
      <c r="H131" s="36">
        <v>2.7</v>
      </c>
      <c r="I131" s="17">
        <v>3</v>
      </c>
      <c r="J131" s="39">
        <f t="shared" si="12"/>
        <v>8.1000000000000014</v>
      </c>
      <c r="K131" s="40">
        <f t="shared" si="13"/>
        <v>-3</v>
      </c>
    </row>
    <row r="132" spans="1:11" x14ac:dyDescent="0.35">
      <c r="A132" s="62"/>
      <c r="B132" s="15"/>
      <c r="C132" s="15"/>
      <c r="D132" s="15"/>
      <c r="E132" s="15"/>
      <c r="F132" s="34" t="s">
        <v>113</v>
      </c>
      <c r="G132" s="35" t="e">
        <f>#REF!</f>
        <v>#REF!</v>
      </c>
      <c r="H132" s="36">
        <v>2.33</v>
      </c>
      <c r="I132" s="17">
        <v>8</v>
      </c>
      <c r="J132" s="39">
        <v>0</v>
      </c>
      <c r="K132" s="40">
        <f t="shared" si="13"/>
        <v>-8</v>
      </c>
    </row>
    <row r="133" spans="1:11" ht="20.149999999999999" customHeight="1" x14ac:dyDescent="0.35">
      <c r="A133" s="62"/>
      <c r="B133" s="15"/>
      <c r="C133" s="15"/>
      <c r="D133" s="15"/>
      <c r="E133" s="15"/>
      <c r="F133" s="34" t="s">
        <v>72</v>
      </c>
      <c r="G133" s="35" t="e">
        <f>#REF!</f>
        <v>#REF!</v>
      </c>
      <c r="H133" s="36">
        <v>3.24</v>
      </c>
      <c r="I133" s="17">
        <v>4</v>
      </c>
      <c r="J133" s="39">
        <f>I133*H133</f>
        <v>12.96</v>
      </c>
      <c r="K133" s="40">
        <f t="shared" si="13"/>
        <v>-4</v>
      </c>
    </row>
    <row r="134" spans="1:11" ht="15" thickBot="1" x14ac:dyDescent="0.4">
      <c r="A134" s="62"/>
      <c r="B134" s="18"/>
      <c r="C134" s="18"/>
      <c r="D134" s="18"/>
      <c r="E134" s="18"/>
      <c r="F134" s="41" t="s">
        <v>112</v>
      </c>
      <c r="G134" s="42" t="e">
        <f>#REF!</f>
        <v>#REF!</v>
      </c>
      <c r="H134" s="43">
        <v>2.41</v>
      </c>
      <c r="I134" s="29">
        <v>3</v>
      </c>
      <c r="J134" s="44">
        <f>I134*H134</f>
        <v>7.23</v>
      </c>
      <c r="K134" s="45">
        <f t="shared" si="13"/>
        <v>-3</v>
      </c>
    </row>
    <row r="135" spans="1:11" ht="15" customHeight="1" thickBot="1" x14ac:dyDescent="0.6">
      <c r="A135" s="84" t="s">
        <v>9</v>
      </c>
      <c r="B135" s="85"/>
      <c r="C135" s="85"/>
      <c r="D135" s="85"/>
      <c r="E135" s="85"/>
      <c r="F135" s="85"/>
      <c r="G135" s="85"/>
      <c r="H135" s="85"/>
      <c r="I135" s="86"/>
      <c r="J135" s="87">
        <v>1757.8899999999999</v>
      </c>
      <c r="K135" s="88"/>
    </row>
    <row r="136" spans="1:11" ht="24" thickBot="1" x14ac:dyDescent="0.6">
      <c r="A136" s="84" t="s">
        <v>21</v>
      </c>
      <c r="B136" s="85"/>
      <c r="C136" s="85"/>
      <c r="D136" s="85"/>
      <c r="E136" s="85"/>
      <c r="F136" s="85"/>
      <c r="G136" s="85"/>
      <c r="H136" s="85"/>
      <c r="I136" s="86"/>
      <c r="J136" s="89">
        <v>0</v>
      </c>
      <c r="K136" s="90"/>
    </row>
    <row r="137" spans="1:11" ht="24" thickBot="1" x14ac:dyDescent="0.6">
      <c r="A137" s="84" t="s">
        <v>55</v>
      </c>
      <c r="B137" s="85"/>
      <c r="C137" s="85"/>
      <c r="D137" s="85"/>
      <c r="E137" s="85"/>
      <c r="F137" s="85"/>
      <c r="G137" s="85"/>
      <c r="H137" s="85"/>
      <c r="I137" s="86"/>
      <c r="J137" s="89">
        <v>0</v>
      </c>
      <c r="K137" s="90"/>
    </row>
    <row r="138" spans="1:11" ht="24" thickBot="1" x14ac:dyDescent="0.6">
      <c r="A138" s="84" t="s">
        <v>11</v>
      </c>
      <c r="B138" s="85"/>
      <c r="C138" s="85"/>
      <c r="D138" s="85"/>
      <c r="E138" s="85"/>
      <c r="F138" s="85"/>
      <c r="G138" s="85"/>
      <c r="H138" s="85"/>
      <c r="I138" s="86"/>
      <c r="J138" s="87">
        <f>SUM(J109:J134)</f>
        <v>967.43000000000018</v>
      </c>
      <c r="K138" s="88"/>
    </row>
    <row r="139" spans="1:11" ht="20.149999999999999" customHeight="1" thickBot="1" x14ac:dyDescent="0.6">
      <c r="A139" s="84" t="s">
        <v>22</v>
      </c>
      <c r="B139" s="85"/>
      <c r="C139" s="85"/>
      <c r="D139" s="85"/>
      <c r="E139" s="85"/>
      <c r="F139" s="85"/>
      <c r="G139" s="85"/>
      <c r="H139" s="85"/>
      <c r="I139" s="86"/>
      <c r="J139" s="89">
        <v>1739.25</v>
      </c>
      <c r="K139" s="90"/>
    </row>
    <row r="140" spans="1:11" ht="20.149999999999999" customHeight="1" thickBot="1" x14ac:dyDescent="0.6">
      <c r="A140" s="84" t="s">
        <v>23</v>
      </c>
      <c r="B140" s="85"/>
      <c r="C140" s="85"/>
      <c r="D140" s="85"/>
      <c r="E140" s="85"/>
      <c r="F140" s="85"/>
      <c r="G140" s="85"/>
      <c r="H140" s="85"/>
      <c r="I140" s="86"/>
      <c r="J140" s="87">
        <f>J135+J136+J137-J138</f>
        <v>790.4599999999997</v>
      </c>
      <c r="K140" s="88"/>
    </row>
    <row r="141" spans="1:11" ht="20.149999999999999" customHeight="1" thickBot="1" x14ac:dyDescent="0.6">
      <c r="A141" s="109" t="s">
        <v>24</v>
      </c>
      <c r="B141" s="110"/>
      <c r="C141" s="110"/>
      <c r="D141" s="110"/>
      <c r="E141" s="110"/>
      <c r="F141" s="110"/>
      <c r="G141" s="110"/>
      <c r="H141" s="110"/>
      <c r="I141" s="111"/>
      <c r="J141" s="112">
        <f>J140/J139</f>
        <v>0.45448325427626834</v>
      </c>
      <c r="K141" s="113"/>
    </row>
    <row r="142" spans="1:11" ht="20.149999999999999" customHeight="1" thickBot="1" x14ac:dyDescent="0.6">
      <c r="A142" s="109" t="s">
        <v>56</v>
      </c>
      <c r="B142" s="110"/>
      <c r="C142" s="110"/>
      <c r="D142" s="110"/>
      <c r="E142" s="110"/>
      <c r="F142" s="110"/>
      <c r="G142" s="110"/>
      <c r="H142" s="110"/>
      <c r="I142" s="111"/>
      <c r="J142" s="112">
        <f>((G223+G224+G226-J138)/G225)</f>
        <v>0.45448325427626834</v>
      </c>
      <c r="K142" s="113"/>
    </row>
    <row r="143" spans="1:11" ht="20.149999999999999" customHeight="1" x14ac:dyDescent="0.35">
      <c r="A143" s="145" t="s">
        <v>0</v>
      </c>
      <c r="B143" s="147" t="s">
        <v>1</v>
      </c>
      <c r="C143" s="148"/>
      <c r="D143" s="148"/>
      <c r="E143" s="149"/>
      <c r="F143" s="102" t="s">
        <v>2</v>
      </c>
      <c r="G143" s="120" t="s">
        <v>66</v>
      </c>
      <c r="H143" s="102" t="s">
        <v>4</v>
      </c>
      <c r="I143" s="102" t="s">
        <v>5</v>
      </c>
      <c r="J143" s="102" t="s">
        <v>6</v>
      </c>
      <c r="K143" s="104" t="s">
        <v>7</v>
      </c>
    </row>
    <row r="144" spans="1:11" ht="20.149999999999999" customHeight="1" x14ac:dyDescent="0.35">
      <c r="A144" s="146"/>
      <c r="B144" s="27">
        <v>1</v>
      </c>
      <c r="C144" s="27">
        <v>2</v>
      </c>
      <c r="D144" s="27">
        <v>3</v>
      </c>
      <c r="E144" s="27">
        <v>4</v>
      </c>
      <c r="F144" s="103"/>
      <c r="G144" s="121"/>
      <c r="H144" s="103"/>
      <c r="I144" s="103"/>
      <c r="J144" s="103"/>
      <c r="K144" s="105"/>
    </row>
    <row r="145" spans="1:11" ht="20.149999999999999" customHeight="1" x14ac:dyDescent="0.55000000000000004">
      <c r="A145" s="106" t="s">
        <v>61</v>
      </c>
      <c r="B145" s="107"/>
      <c r="C145" s="107"/>
      <c r="D145" s="107"/>
      <c r="E145" s="107"/>
      <c r="F145" s="107"/>
      <c r="G145" s="107"/>
      <c r="H145" s="107"/>
      <c r="I145" s="107"/>
      <c r="J145" s="107"/>
      <c r="K145" s="108"/>
    </row>
    <row r="146" spans="1:11" ht="20.149999999999999" customHeight="1" x14ac:dyDescent="0.35">
      <c r="A146" s="62"/>
      <c r="B146" s="14"/>
      <c r="C146" s="14"/>
      <c r="D146" s="14"/>
      <c r="E146" s="14"/>
      <c r="F146" s="34" t="s">
        <v>121</v>
      </c>
      <c r="G146" s="35" t="e">
        <f>#REF!</f>
        <v>#REF!</v>
      </c>
      <c r="H146" s="36"/>
      <c r="I146" s="28">
        <v>0</v>
      </c>
      <c r="J146" s="39" t="e">
        <f>(I146/G146)*H146</f>
        <v>#REF!</v>
      </c>
      <c r="K146" s="40">
        <f>(SUM(A146:E146))-I146</f>
        <v>0</v>
      </c>
    </row>
    <row r="147" spans="1:11" x14ac:dyDescent="0.35">
      <c r="A147" s="30"/>
      <c r="B147" s="14"/>
      <c r="C147" s="14"/>
      <c r="D147" s="14"/>
      <c r="E147" s="14"/>
      <c r="F147" s="34" t="s">
        <v>116</v>
      </c>
      <c r="G147" s="35">
        <v>179.99</v>
      </c>
      <c r="H147" s="36"/>
      <c r="I147" s="28">
        <v>0</v>
      </c>
      <c r="J147" s="39">
        <f>(I147/G147)*H147</f>
        <v>0</v>
      </c>
      <c r="K147" s="40">
        <f>(SUM(A147:E147))-I147</f>
        <v>0</v>
      </c>
    </row>
    <row r="148" spans="1:11" x14ac:dyDescent="0.35">
      <c r="A148" s="30"/>
      <c r="B148" s="14"/>
      <c r="C148" s="14"/>
      <c r="D148" s="14"/>
      <c r="E148" s="14"/>
      <c r="F148" s="34" t="s">
        <v>20</v>
      </c>
      <c r="G148" s="35" t="e">
        <f>#REF!</f>
        <v>#REF!</v>
      </c>
      <c r="H148" s="36"/>
      <c r="I148" s="28">
        <v>0</v>
      </c>
      <c r="J148" s="39" t="e">
        <f>(I148/G148)*H148</f>
        <v>#REF!</v>
      </c>
      <c r="K148" s="40">
        <f>(SUM(A148:E148))-I148</f>
        <v>0</v>
      </c>
    </row>
    <row r="149" spans="1:11" ht="15" thickBot="1" x14ac:dyDescent="0.4">
      <c r="A149" s="30"/>
      <c r="B149" s="14"/>
      <c r="C149" s="14"/>
      <c r="D149" s="14"/>
      <c r="E149" s="14"/>
      <c r="F149" s="34" t="e">
        <f>#REF!</f>
        <v>#REF!</v>
      </c>
      <c r="G149" s="35" t="e">
        <f>#REF!</f>
        <v>#REF!</v>
      </c>
      <c r="H149" s="36" t="e">
        <f>#REF!</f>
        <v>#REF!</v>
      </c>
      <c r="I149" s="28">
        <v>0</v>
      </c>
      <c r="J149" s="39" t="e">
        <f>(I149/G149)*H149</f>
        <v>#REF!</v>
      </c>
      <c r="K149" s="40">
        <f>(SUM(A149:E149))-I149</f>
        <v>0</v>
      </c>
    </row>
    <row r="150" spans="1:11" ht="15" customHeight="1" thickBot="1" x14ac:dyDescent="0.6">
      <c r="A150" s="84" t="s">
        <v>9</v>
      </c>
      <c r="B150" s="85"/>
      <c r="C150" s="85"/>
      <c r="D150" s="85"/>
      <c r="E150" s="85"/>
      <c r="F150" s="85"/>
      <c r="G150" s="85"/>
      <c r="H150" s="85"/>
      <c r="I150" s="86"/>
      <c r="J150" s="87">
        <v>436.28818840579714</v>
      </c>
      <c r="K150" s="88"/>
    </row>
    <row r="151" spans="1:11" ht="24" thickBot="1" x14ac:dyDescent="0.6">
      <c r="A151" s="84" t="s">
        <v>62</v>
      </c>
      <c r="B151" s="85"/>
      <c r="C151" s="85"/>
      <c r="D151" s="85"/>
      <c r="E151" s="85"/>
      <c r="F151" s="85"/>
      <c r="G151" s="85"/>
      <c r="H151" s="85"/>
      <c r="I151" s="86"/>
      <c r="J151" s="89">
        <v>0</v>
      </c>
      <c r="K151" s="90"/>
    </row>
    <row r="152" spans="1:11" ht="15" customHeight="1" thickBot="1" x14ac:dyDescent="0.6">
      <c r="A152" s="84" t="s">
        <v>55</v>
      </c>
      <c r="B152" s="85"/>
      <c r="C152" s="85"/>
      <c r="D152" s="85"/>
      <c r="E152" s="85"/>
      <c r="F152" s="85"/>
      <c r="G152" s="85"/>
      <c r="H152" s="85"/>
      <c r="I152" s="86"/>
      <c r="J152" s="89">
        <v>0</v>
      </c>
      <c r="K152" s="90"/>
    </row>
    <row r="153" spans="1:11" ht="24" thickBot="1" x14ac:dyDescent="0.6">
      <c r="A153" s="84" t="s">
        <v>11</v>
      </c>
      <c r="B153" s="85"/>
      <c r="C153" s="85"/>
      <c r="D153" s="85"/>
      <c r="E153" s="85"/>
      <c r="F153" s="85"/>
      <c r="G153" s="85"/>
      <c r="H153" s="85"/>
      <c r="I153" s="86"/>
      <c r="J153" s="87" t="e">
        <f>J146+J147+J148</f>
        <v>#REF!</v>
      </c>
      <c r="K153" s="88"/>
    </row>
    <row r="154" spans="1:11" ht="24" thickBot="1" x14ac:dyDescent="0.6">
      <c r="A154" s="84" t="s">
        <v>63</v>
      </c>
      <c r="B154" s="85"/>
      <c r="C154" s="85"/>
      <c r="D154" s="85"/>
      <c r="E154" s="85"/>
      <c r="F154" s="85"/>
      <c r="G154" s="85"/>
      <c r="H154" s="85"/>
      <c r="I154" s="86"/>
      <c r="J154" s="89">
        <v>599.5</v>
      </c>
      <c r="K154" s="90"/>
    </row>
    <row r="155" spans="1:11" ht="24" thickBot="1" x14ac:dyDescent="0.6">
      <c r="A155" s="84" t="s">
        <v>64</v>
      </c>
      <c r="B155" s="85"/>
      <c r="C155" s="85"/>
      <c r="D155" s="85"/>
      <c r="E155" s="85"/>
      <c r="F155" s="85"/>
      <c r="G155" s="85"/>
      <c r="H155" s="85"/>
      <c r="I155" s="86"/>
      <c r="J155" s="87" t="e">
        <f>J150+J151+J152-J153</f>
        <v>#REF!</v>
      </c>
      <c r="K155" s="88"/>
    </row>
    <row r="156" spans="1:11" ht="24" thickBot="1" x14ac:dyDescent="0.6">
      <c r="A156" s="109" t="s">
        <v>65</v>
      </c>
      <c r="B156" s="110"/>
      <c r="C156" s="110"/>
      <c r="D156" s="110"/>
      <c r="E156" s="110"/>
      <c r="F156" s="110"/>
      <c r="G156" s="110"/>
      <c r="H156" s="110"/>
      <c r="I156" s="111"/>
      <c r="J156" s="112" t="e">
        <f>J155/J154</f>
        <v>#REF!</v>
      </c>
      <c r="K156" s="113"/>
    </row>
    <row r="157" spans="1:11" ht="24" thickBot="1" x14ac:dyDescent="0.6">
      <c r="A157" s="109" t="s">
        <v>56</v>
      </c>
      <c r="B157" s="110"/>
      <c r="C157" s="110"/>
      <c r="D157" s="110"/>
      <c r="E157" s="110"/>
      <c r="F157" s="110"/>
      <c r="G157" s="110"/>
      <c r="H157" s="110"/>
      <c r="I157" s="111"/>
      <c r="J157" s="112">
        <f>((G223+G224+G226-J138)/G225)</f>
        <v>0.45448325427626834</v>
      </c>
      <c r="K157" s="113"/>
    </row>
    <row r="158" spans="1:11" x14ac:dyDescent="0.35">
      <c r="A158" s="145" t="s">
        <v>0</v>
      </c>
      <c r="B158" s="147" t="s">
        <v>1</v>
      </c>
      <c r="C158" s="148"/>
      <c r="D158" s="148"/>
      <c r="E158" s="149"/>
      <c r="F158" s="102" t="s">
        <v>2</v>
      </c>
      <c r="G158" s="120" t="s">
        <v>53</v>
      </c>
      <c r="H158" s="102" t="s">
        <v>4</v>
      </c>
      <c r="I158" s="102" t="s">
        <v>5</v>
      </c>
      <c r="J158" s="102" t="s">
        <v>6</v>
      </c>
      <c r="K158" s="104" t="s">
        <v>7</v>
      </c>
    </row>
    <row r="159" spans="1:11" ht="15" thickBot="1" x14ac:dyDescent="0.4">
      <c r="A159" s="158"/>
      <c r="B159" s="27">
        <v>1</v>
      </c>
      <c r="C159" s="27">
        <v>2</v>
      </c>
      <c r="D159" s="27">
        <v>3</v>
      </c>
      <c r="E159" s="27">
        <v>4</v>
      </c>
      <c r="F159" s="150"/>
      <c r="G159" s="159"/>
      <c r="H159" s="150"/>
      <c r="I159" s="150"/>
      <c r="J159" s="150"/>
      <c r="K159" s="151"/>
    </row>
    <row r="160" spans="1:11" ht="24" thickBot="1" x14ac:dyDescent="0.6">
      <c r="A160" s="152" t="s">
        <v>25</v>
      </c>
      <c r="B160" s="153"/>
      <c r="C160" s="153"/>
      <c r="D160" s="153"/>
      <c r="E160" s="153"/>
      <c r="F160" s="153"/>
      <c r="G160" s="153"/>
      <c r="H160" s="153"/>
      <c r="I160" s="153"/>
      <c r="J160" s="153"/>
      <c r="K160" s="154"/>
    </row>
    <row r="161" spans="1:11" x14ac:dyDescent="0.35">
      <c r="A161" s="17"/>
      <c r="B161" s="14"/>
      <c r="C161" s="14"/>
      <c r="D161" s="14"/>
      <c r="E161" s="14"/>
      <c r="F161" s="34" t="s">
        <v>174</v>
      </c>
      <c r="G161" s="35">
        <v>147</v>
      </c>
      <c r="H161" s="36"/>
      <c r="I161" s="28">
        <v>327.95000000000005</v>
      </c>
      <c r="J161" s="37">
        <f>IF(G161=0,0,(I161/G161)*H161)</f>
        <v>0</v>
      </c>
      <c r="K161" s="38">
        <f>IF(G161=0,0,(((SUM(A161:E161)/G161)-(I161/G161))*26))</f>
        <v>-58.004761904761921</v>
      </c>
    </row>
    <row r="162" spans="1:11" x14ac:dyDescent="0.35">
      <c r="A162" s="17"/>
      <c r="B162" s="15"/>
      <c r="C162" s="15"/>
      <c r="D162" s="15"/>
      <c r="E162" s="15"/>
      <c r="F162" s="34" t="s">
        <v>197</v>
      </c>
      <c r="G162" s="35" t="e">
        <f>#REF!</f>
        <v>#REF!</v>
      </c>
      <c r="H162" s="36"/>
      <c r="I162" s="17">
        <v>72.099999999999994</v>
      </c>
      <c r="J162" s="37" t="e">
        <f t="shared" ref="J162:J179" si="14">IF(G162=0,0,(I162/G162)*H162)</f>
        <v>#REF!</v>
      </c>
      <c r="K162" s="38" t="e">
        <f>IF(G162=0,0,(((SUM(A162:E162)/G162)-(I162/G162))*52))</f>
        <v>#REF!</v>
      </c>
    </row>
    <row r="163" spans="1:11" x14ac:dyDescent="0.35">
      <c r="A163" s="17"/>
      <c r="B163" s="15"/>
      <c r="C163" s="15"/>
      <c r="D163" s="15"/>
      <c r="E163" s="15"/>
      <c r="F163" s="34" t="s">
        <v>199</v>
      </c>
      <c r="G163" s="35" t="e">
        <f>#REF!</f>
        <v>#REF!</v>
      </c>
      <c r="H163" s="36"/>
      <c r="I163" s="17">
        <v>25.25</v>
      </c>
      <c r="J163" s="37" t="e">
        <f t="shared" si="14"/>
        <v>#REF!</v>
      </c>
      <c r="K163" s="38" t="e">
        <f t="shared" ref="K163:K169" si="15">IF(G163=0,0,(((SUM(A163:E163)/G163)-(I163/G163))*26))</f>
        <v>#REF!</v>
      </c>
    </row>
    <row r="164" spans="1:11" x14ac:dyDescent="0.35">
      <c r="A164" s="17"/>
      <c r="B164" s="15"/>
      <c r="C164" s="15"/>
      <c r="D164" s="15"/>
      <c r="E164" s="15"/>
      <c r="F164" s="34" t="s">
        <v>201</v>
      </c>
      <c r="G164" s="35" t="e">
        <f>#REF!</f>
        <v>#REF!</v>
      </c>
      <c r="H164" s="36"/>
      <c r="I164" s="17">
        <v>22.5</v>
      </c>
      <c r="J164" s="37" t="e">
        <f t="shared" si="14"/>
        <v>#REF!</v>
      </c>
      <c r="K164" s="38" t="e">
        <f>IF(G164=0,0,(((SUM(A164:E164)/G164)-(I164/G164))*52))</f>
        <v>#REF!</v>
      </c>
    </row>
    <row r="165" spans="1:11" x14ac:dyDescent="0.35">
      <c r="A165" s="29"/>
      <c r="B165" s="18"/>
      <c r="C165" s="18"/>
      <c r="D165" s="18"/>
      <c r="E165" s="18"/>
      <c r="F165" s="34" t="s">
        <v>202</v>
      </c>
      <c r="G165" s="35" t="e">
        <f>#REF!</f>
        <v>#REF!</v>
      </c>
      <c r="H165" s="36"/>
      <c r="I165" s="29">
        <v>40.299999999999997</v>
      </c>
      <c r="J165" s="37" t="e">
        <f t="shared" si="14"/>
        <v>#REF!</v>
      </c>
      <c r="K165" s="38" t="e">
        <f t="shared" si="15"/>
        <v>#REF!</v>
      </c>
    </row>
    <row r="166" spans="1:11" x14ac:dyDescent="0.35">
      <c r="A166" s="29"/>
      <c r="B166" s="18"/>
      <c r="C166" s="18"/>
      <c r="D166" s="18"/>
      <c r="E166" s="18"/>
      <c r="F166" s="34" t="s">
        <v>198</v>
      </c>
      <c r="G166" s="35" t="e">
        <f>#REF!</f>
        <v>#REF!</v>
      </c>
      <c r="H166" s="36"/>
      <c r="I166" s="29">
        <v>17.350000000000001</v>
      </c>
      <c r="J166" s="37" t="e">
        <f t="shared" si="14"/>
        <v>#REF!</v>
      </c>
      <c r="K166" s="38" t="e">
        <f>IF(G166=0,0,(((SUM(A166:E166)/G166)-(I166/G166))*52))</f>
        <v>#REF!</v>
      </c>
    </row>
    <row r="167" spans="1:11" x14ac:dyDescent="0.35">
      <c r="A167" s="29"/>
      <c r="B167" s="18"/>
      <c r="C167" s="18"/>
      <c r="D167" s="18"/>
      <c r="E167" s="18"/>
      <c r="F167" s="34" t="s">
        <v>200</v>
      </c>
      <c r="G167" s="35" t="e">
        <f>#REF!</f>
        <v>#REF!</v>
      </c>
      <c r="H167" s="36"/>
      <c r="I167" s="29">
        <v>31.55</v>
      </c>
      <c r="J167" s="37" t="e">
        <f t="shared" si="14"/>
        <v>#REF!</v>
      </c>
      <c r="K167" s="38" t="e">
        <f t="shared" si="15"/>
        <v>#REF!</v>
      </c>
    </row>
    <row r="168" spans="1:11" x14ac:dyDescent="0.35">
      <c r="A168" s="29"/>
      <c r="B168" s="18"/>
      <c r="C168" s="18"/>
      <c r="D168" s="18"/>
      <c r="E168" s="18"/>
      <c r="F168" s="34" t="s">
        <v>206</v>
      </c>
      <c r="G168" s="35" t="e">
        <f>#REF!</f>
        <v>#REF!</v>
      </c>
      <c r="H168" s="36"/>
      <c r="I168" s="29"/>
      <c r="J168" s="37" t="e">
        <f t="shared" si="14"/>
        <v>#REF!</v>
      </c>
      <c r="K168" s="38" t="e">
        <f>IF(G168=0,0,(((SUM(A168:E168)/G168)-(I168/G168))*52))</f>
        <v>#REF!</v>
      </c>
    </row>
    <row r="169" spans="1:11" x14ac:dyDescent="0.35">
      <c r="A169" s="29"/>
      <c r="B169" s="18"/>
      <c r="C169" s="18"/>
      <c r="D169" s="18"/>
      <c r="E169" s="18"/>
      <c r="F169" s="34" t="s">
        <v>207</v>
      </c>
      <c r="G169" s="35" t="e">
        <f>#REF!</f>
        <v>#REF!</v>
      </c>
      <c r="H169" s="36"/>
      <c r="I169" s="29"/>
      <c r="J169" s="37" t="e">
        <f t="shared" si="14"/>
        <v>#REF!</v>
      </c>
      <c r="K169" s="38" t="e">
        <f t="shared" si="15"/>
        <v>#REF!</v>
      </c>
    </row>
    <row r="170" spans="1:11" x14ac:dyDescent="0.35">
      <c r="A170" s="29"/>
      <c r="B170" s="18"/>
      <c r="C170" s="18"/>
      <c r="D170" s="18"/>
      <c r="E170" s="18"/>
      <c r="F170" s="34" t="s">
        <v>211</v>
      </c>
      <c r="G170" s="35"/>
      <c r="H170" s="36"/>
      <c r="I170" s="29">
        <v>31.5</v>
      </c>
      <c r="J170" s="37">
        <f t="shared" si="14"/>
        <v>0</v>
      </c>
      <c r="K170" s="38">
        <f>IF(G170=0,0,(((SUM(A170:E170)/G170)-(I170/G170))*52))</f>
        <v>0</v>
      </c>
    </row>
    <row r="171" spans="1:11" x14ac:dyDescent="0.35">
      <c r="A171" s="29"/>
      <c r="B171" s="18"/>
      <c r="C171" s="18"/>
      <c r="D171" s="18"/>
      <c r="E171" s="18"/>
      <c r="F171" s="34" t="s">
        <v>212</v>
      </c>
      <c r="G171" s="35">
        <v>40.950000000000003</v>
      </c>
      <c r="H171" s="36"/>
      <c r="I171" s="29">
        <v>36.35</v>
      </c>
      <c r="J171" s="37">
        <f t="shared" si="14"/>
        <v>0</v>
      </c>
      <c r="K171" s="38">
        <f t="shared" ref="K171:K179" si="16">IF(G171=0,0,(((SUM(A171:E171)/G171)-(I171/G171))*52))</f>
        <v>-46.158730158730158</v>
      </c>
    </row>
    <row r="172" spans="1:11" x14ac:dyDescent="0.35">
      <c r="A172" s="29"/>
      <c r="B172" s="18"/>
      <c r="C172" s="18"/>
      <c r="D172" s="18"/>
      <c r="E172" s="18"/>
      <c r="F172" s="34" t="s">
        <v>211</v>
      </c>
      <c r="G172" s="35">
        <v>40.950000000000003</v>
      </c>
      <c r="H172" s="36"/>
      <c r="I172" s="29">
        <v>41.85</v>
      </c>
      <c r="J172" s="37">
        <f t="shared" si="14"/>
        <v>0</v>
      </c>
      <c r="K172" s="38">
        <f t="shared" si="16"/>
        <v>-53.142857142857139</v>
      </c>
    </row>
    <row r="173" spans="1:11" x14ac:dyDescent="0.35">
      <c r="A173" s="29"/>
      <c r="B173" s="18"/>
      <c r="C173" s="18"/>
      <c r="D173" s="18"/>
      <c r="E173" s="18"/>
      <c r="F173" s="34"/>
      <c r="G173" s="35" t="e">
        <f>#REF!</f>
        <v>#REF!</v>
      </c>
      <c r="H173" s="36"/>
      <c r="I173" s="29"/>
      <c r="J173" s="37" t="e">
        <f t="shared" si="14"/>
        <v>#REF!</v>
      </c>
      <c r="K173" s="38" t="e">
        <f t="shared" si="16"/>
        <v>#REF!</v>
      </c>
    </row>
    <row r="174" spans="1:11" ht="24" customHeight="1" x14ac:dyDescent="0.35">
      <c r="A174" s="29"/>
      <c r="B174" s="18"/>
      <c r="C174" s="18"/>
      <c r="D174" s="18"/>
      <c r="E174" s="18"/>
      <c r="F174" s="34" t="e">
        <f>#REF!</f>
        <v>#REF!</v>
      </c>
      <c r="G174" s="35" t="e">
        <f>#REF!</f>
        <v>#REF!</v>
      </c>
      <c r="H174" s="36"/>
      <c r="I174" s="29"/>
      <c r="J174" s="37" t="e">
        <f t="shared" si="14"/>
        <v>#REF!</v>
      </c>
      <c r="K174" s="38" t="e">
        <f t="shared" si="16"/>
        <v>#REF!</v>
      </c>
    </row>
    <row r="175" spans="1:11" ht="19.5" customHeight="1" x14ac:dyDescent="0.35">
      <c r="A175" s="29"/>
      <c r="B175" s="18"/>
      <c r="C175" s="18"/>
      <c r="D175" s="18"/>
      <c r="E175" s="18"/>
      <c r="F175" s="34" t="e">
        <f>#REF!</f>
        <v>#REF!</v>
      </c>
      <c r="G175" s="35" t="e">
        <f>#REF!</f>
        <v>#REF!</v>
      </c>
      <c r="H175" s="36"/>
      <c r="I175" s="29"/>
      <c r="J175" s="37" t="e">
        <f t="shared" si="14"/>
        <v>#REF!</v>
      </c>
      <c r="K175" s="38" t="e">
        <f t="shared" si="16"/>
        <v>#REF!</v>
      </c>
    </row>
    <row r="176" spans="1:11" ht="19.5" customHeight="1" x14ac:dyDescent="0.35">
      <c r="A176" s="29"/>
      <c r="B176" s="18"/>
      <c r="C176" s="18"/>
      <c r="D176" s="18"/>
      <c r="E176" s="18"/>
      <c r="F176" s="34"/>
      <c r="G176" s="35" t="e">
        <f>#REF!</f>
        <v>#REF!</v>
      </c>
      <c r="H176" s="36" t="e">
        <f>#REF!</f>
        <v>#REF!</v>
      </c>
      <c r="I176" s="29"/>
      <c r="J176" s="37" t="e">
        <f t="shared" si="14"/>
        <v>#REF!</v>
      </c>
      <c r="K176" s="38" t="e">
        <f t="shared" si="16"/>
        <v>#REF!</v>
      </c>
    </row>
    <row r="177" spans="1:11" ht="19.5" customHeight="1" x14ac:dyDescent="0.35">
      <c r="A177" s="29"/>
      <c r="B177" s="18"/>
      <c r="C177" s="18"/>
      <c r="D177" s="18"/>
      <c r="E177" s="18"/>
      <c r="F177" s="34"/>
      <c r="G177" s="35" t="e">
        <f>#REF!</f>
        <v>#REF!</v>
      </c>
      <c r="H177" s="36" t="e">
        <f>#REF!</f>
        <v>#REF!</v>
      </c>
      <c r="I177" s="29"/>
      <c r="J177" s="37" t="e">
        <f t="shared" si="14"/>
        <v>#REF!</v>
      </c>
      <c r="K177" s="38" t="e">
        <f t="shared" si="16"/>
        <v>#REF!</v>
      </c>
    </row>
    <row r="178" spans="1:11" ht="19.5" customHeight="1" x14ac:dyDescent="0.35">
      <c r="A178" s="29"/>
      <c r="B178" s="18"/>
      <c r="C178" s="18"/>
      <c r="D178" s="18"/>
      <c r="E178" s="18"/>
      <c r="F178" s="34"/>
      <c r="G178" s="35" t="e">
        <f>#REF!</f>
        <v>#REF!</v>
      </c>
      <c r="H178" s="36" t="e">
        <f>#REF!</f>
        <v>#REF!</v>
      </c>
      <c r="I178" s="29"/>
      <c r="J178" s="37" t="e">
        <f t="shared" si="14"/>
        <v>#REF!</v>
      </c>
      <c r="K178" s="38" t="e">
        <f t="shared" si="16"/>
        <v>#REF!</v>
      </c>
    </row>
    <row r="179" spans="1:11" ht="15" customHeight="1" thickBot="1" x14ac:dyDescent="0.4">
      <c r="A179" s="29"/>
      <c r="B179" s="18"/>
      <c r="C179" s="18"/>
      <c r="D179" s="18"/>
      <c r="E179" s="18"/>
      <c r="F179" s="34"/>
      <c r="G179" s="35" t="e">
        <f>#REF!</f>
        <v>#REF!</v>
      </c>
      <c r="H179" s="36" t="e">
        <f>#REF!</f>
        <v>#REF!</v>
      </c>
      <c r="I179" s="29"/>
      <c r="J179" s="37" t="e">
        <f t="shared" si="14"/>
        <v>#REF!</v>
      </c>
      <c r="K179" s="38" t="e">
        <f t="shared" si="16"/>
        <v>#REF!</v>
      </c>
    </row>
    <row r="180" spans="1:11" ht="15" customHeight="1" thickBot="1" x14ac:dyDescent="0.6">
      <c r="A180" s="155" t="s">
        <v>26</v>
      </c>
      <c r="B180" s="156"/>
      <c r="C180" s="156"/>
      <c r="D180" s="156"/>
      <c r="E180" s="156"/>
      <c r="F180" s="156"/>
      <c r="G180" s="156"/>
      <c r="H180" s="156"/>
      <c r="I180" s="156"/>
      <c r="J180" s="156"/>
      <c r="K180" s="157"/>
    </row>
    <row r="181" spans="1:11" ht="15" customHeight="1" x14ac:dyDescent="0.35">
      <c r="A181" s="24"/>
      <c r="B181" s="52"/>
      <c r="C181" s="52"/>
      <c r="D181" s="52"/>
      <c r="E181" s="52"/>
      <c r="F181" s="66" t="s">
        <v>203</v>
      </c>
      <c r="G181" s="67" t="e">
        <f>#REF!</f>
        <v>#REF!</v>
      </c>
      <c r="H181" s="68"/>
      <c r="I181" s="24"/>
      <c r="J181" s="69" t="e">
        <f>IF(G181=0,0,(I181/G181)*H181)</f>
        <v>#REF!</v>
      </c>
      <c r="K181" s="70" t="e">
        <f>IF(G181=0,0,(((SUM(A181:E181)/G181)-(I181/G181))*26))</f>
        <v>#REF!</v>
      </c>
    </row>
    <row r="182" spans="1:11" ht="15" customHeight="1" x14ac:dyDescent="0.35">
      <c r="A182" s="17"/>
      <c r="B182" s="15"/>
      <c r="C182" s="15"/>
      <c r="D182" s="15"/>
      <c r="E182" s="15"/>
      <c r="F182" s="63" t="s">
        <v>210</v>
      </c>
      <c r="G182" s="64"/>
      <c r="H182" s="65"/>
      <c r="I182" s="17">
        <v>22.8</v>
      </c>
      <c r="J182" s="39">
        <f t="shared" ref="J182:J197" si="17">IF(G182=0,0,(I182/G182)*H182)</f>
        <v>0</v>
      </c>
      <c r="K182" s="40">
        <f>IF(G182=0,0,(((SUM(A182:E182)/G182)-(I182/G182))*52))</f>
        <v>0</v>
      </c>
    </row>
    <row r="183" spans="1:11" ht="15" customHeight="1" x14ac:dyDescent="0.35">
      <c r="A183" s="17"/>
      <c r="B183" s="15"/>
      <c r="C183" s="15"/>
      <c r="D183" s="15"/>
      <c r="E183" s="15"/>
      <c r="F183" s="63" t="s">
        <v>204</v>
      </c>
      <c r="G183" s="64" t="e">
        <f>#REF!</f>
        <v>#REF!</v>
      </c>
      <c r="H183" s="65"/>
      <c r="I183" s="17"/>
      <c r="J183" s="39" t="e">
        <f t="shared" si="17"/>
        <v>#REF!</v>
      </c>
      <c r="K183" s="40" t="e">
        <f t="shared" ref="K183:K188" si="18">IF(G183=0,0,(((SUM(A183:E183)/G183)-(I183/G183))*26))</f>
        <v>#REF!</v>
      </c>
    </row>
    <row r="184" spans="1:11" ht="15" customHeight="1" x14ac:dyDescent="0.35">
      <c r="A184" s="17"/>
      <c r="B184" s="15"/>
      <c r="C184" s="15"/>
      <c r="D184" s="15"/>
      <c r="E184" s="15"/>
      <c r="F184" s="63" t="s">
        <v>164</v>
      </c>
      <c r="G184" s="64" t="e">
        <f>#REF!</f>
        <v>#REF!</v>
      </c>
      <c r="H184" s="65"/>
      <c r="I184" s="17">
        <f>33.05+41.15</f>
        <v>74.199999999999989</v>
      </c>
      <c r="J184" s="39" t="e">
        <f t="shared" si="17"/>
        <v>#REF!</v>
      </c>
      <c r="K184" s="40" t="e">
        <f>IF(G184=0,0,(((SUM(A184:E184)/G184)-(I184/G184))*52))</f>
        <v>#REF!</v>
      </c>
    </row>
    <row r="185" spans="1:11" ht="15" customHeight="1" x14ac:dyDescent="0.35">
      <c r="A185" s="17"/>
      <c r="B185" s="15"/>
      <c r="C185" s="15"/>
      <c r="D185" s="15"/>
      <c r="E185" s="15"/>
      <c r="F185" s="63" t="s">
        <v>205</v>
      </c>
      <c r="G185" s="64" t="e">
        <f>#REF!</f>
        <v>#REF!</v>
      </c>
      <c r="H185" s="65"/>
      <c r="I185" s="17">
        <v>33.1</v>
      </c>
      <c r="J185" s="39" t="e">
        <f t="shared" si="17"/>
        <v>#REF!</v>
      </c>
      <c r="K185" s="40" t="e">
        <f>IF(G185=0,0,(((SUM(A185:E185)/G185)-(I185/G185))*52))</f>
        <v>#REF!</v>
      </c>
    </row>
    <row r="186" spans="1:11" ht="15" customHeight="1" x14ac:dyDescent="0.35">
      <c r="A186" s="17"/>
      <c r="B186" s="15"/>
      <c r="C186" s="15"/>
      <c r="D186" s="15"/>
      <c r="E186" s="15"/>
      <c r="F186" s="63" t="s">
        <v>209</v>
      </c>
      <c r="G186" s="64" t="e">
        <f>#REF!</f>
        <v>#REF!</v>
      </c>
      <c r="H186" s="65"/>
      <c r="I186" s="17">
        <f>116.5</f>
        <v>116.5</v>
      </c>
      <c r="J186" s="39" t="e">
        <f t="shared" si="17"/>
        <v>#REF!</v>
      </c>
      <c r="K186" s="40" t="e">
        <f t="shared" si="18"/>
        <v>#REF!</v>
      </c>
    </row>
    <row r="187" spans="1:11" ht="20.149999999999999" customHeight="1" x14ac:dyDescent="0.35">
      <c r="A187" s="17"/>
      <c r="B187" s="15"/>
      <c r="C187" s="15"/>
      <c r="D187" s="15"/>
      <c r="E187" s="15"/>
      <c r="F187" s="63" t="s">
        <v>208</v>
      </c>
      <c r="G187" s="64" t="e">
        <f>#REF!</f>
        <v>#REF!</v>
      </c>
      <c r="H187" s="65"/>
      <c r="I187" s="17"/>
      <c r="J187" s="39" t="e">
        <f t="shared" si="17"/>
        <v>#REF!</v>
      </c>
      <c r="K187" s="40" t="e">
        <f>IF(G187=0,0,(((SUM(A187:E187)/G187)-(I187/G187))*52))</f>
        <v>#REF!</v>
      </c>
    </row>
    <row r="188" spans="1:11" ht="20.149999999999999" customHeight="1" x14ac:dyDescent="0.35">
      <c r="A188" s="17"/>
      <c r="B188" s="15"/>
      <c r="C188" s="15"/>
      <c r="D188" s="15"/>
      <c r="E188" s="15"/>
      <c r="F188" s="63"/>
      <c r="G188" s="64" t="e">
        <f>#REF!</f>
        <v>#REF!</v>
      </c>
      <c r="H188" s="65"/>
      <c r="I188" s="17"/>
      <c r="J188" s="39" t="e">
        <f t="shared" si="17"/>
        <v>#REF!</v>
      </c>
      <c r="K188" s="40" t="e">
        <f t="shared" si="18"/>
        <v>#REF!</v>
      </c>
    </row>
    <row r="189" spans="1:11" ht="20.149999999999999" customHeight="1" x14ac:dyDescent="0.35">
      <c r="A189" s="17"/>
      <c r="B189" s="15"/>
      <c r="C189" s="15"/>
      <c r="D189" s="15"/>
      <c r="E189" s="15"/>
      <c r="F189" s="63"/>
      <c r="G189" s="64" t="e">
        <f>#REF!</f>
        <v>#REF!</v>
      </c>
      <c r="H189" s="65"/>
      <c r="I189" s="17"/>
      <c r="J189" s="39" t="e">
        <f t="shared" si="17"/>
        <v>#REF!</v>
      </c>
      <c r="K189" s="40" t="e">
        <f>IF(G189=0,0,(((SUM(A189:E189)/G189)-(I189/G189))*52))</f>
        <v>#REF!</v>
      </c>
    </row>
    <row r="190" spans="1:11" ht="20.149999999999999" customHeight="1" x14ac:dyDescent="0.35">
      <c r="A190" s="17"/>
      <c r="B190" s="15"/>
      <c r="C190" s="15"/>
      <c r="D190" s="15"/>
      <c r="E190" s="15"/>
      <c r="F190" s="34"/>
      <c r="G190" s="64">
        <v>40.950000000000003</v>
      </c>
      <c r="H190" s="65"/>
      <c r="I190" s="17"/>
      <c r="J190" s="39">
        <f t="shared" si="17"/>
        <v>0</v>
      </c>
      <c r="K190" s="40">
        <f t="shared" ref="K190:K197" si="19">IF(G190=0,0,(((SUM(A190:E190)/G190)-(I190/G190))*52))</f>
        <v>0</v>
      </c>
    </row>
    <row r="191" spans="1:11" ht="20.149999999999999" customHeight="1" x14ac:dyDescent="0.35">
      <c r="A191" s="17"/>
      <c r="B191" s="15"/>
      <c r="C191" s="15"/>
      <c r="D191" s="15"/>
      <c r="E191" s="15"/>
      <c r="F191" s="63"/>
      <c r="G191" s="64">
        <v>40.950000000000003</v>
      </c>
      <c r="H191" s="65"/>
      <c r="I191" s="17"/>
      <c r="J191" s="39">
        <f t="shared" si="17"/>
        <v>0</v>
      </c>
      <c r="K191" s="40">
        <f t="shared" si="19"/>
        <v>0</v>
      </c>
    </row>
    <row r="192" spans="1:11" x14ac:dyDescent="0.35">
      <c r="A192" s="17"/>
      <c r="B192" s="15"/>
      <c r="C192" s="15"/>
      <c r="D192" s="15"/>
      <c r="E192" s="15"/>
      <c r="F192" s="63"/>
      <c r="G192" s="64">
        <v>39.4</v>
      </c>
      <c r="H192" s="65"/>
      <c r="I192" s="17"/>
      <c r="J192" s="39">
        <f t="shared" si="17"/>
        <v>0</v>
      </c>
      <c r="K192" s="40">
        <f t="shared" si="19"/>
        <v>0</v>
      </c>
    </row>
    <row r="193" spans="1:13" ht="20.149999999999999" customHeight="1" x14ac:dyDescent="0.35">
      <c r="A193" s="17"/>
      <c r="B193" s="15"/>
      <c r="C193" s="15"/>
      <c r="D193" s="15"/>
      <c r="E193" s="15"/>
      <c r="F193" s="63" t="e">
        <f>#REF!</f>
        <v>#REF!</v>
      </c>
      <c r="G193" s="64" t="e">
        <f>#REF!</f>
        <v>#REF!</v>
      </c>
      <c r="H193" s="65"/>
      <c r="I193" s="17"/>
      <c r="J193" s="39" t="e">
        <f t="shared" si="17"/>
        <v>#REF!</v>
      </c>
      <c r="K193" s="40" t="e">
        <f t="shared" si="19"/>
        <v>#REF!</v>
      </c>
    </row>
    <row r="194" spans="1:13" ht="20.149999999999999" customHeight="1" x14ac:dyDescent="0.35">
      <c r="A194" s="17"/>
      <c r="B194" s="15"/>
      <c r="C194" s="15"/>
      <c r="D194" s="15"/>
      <c r="E194" s="15"/>
      <c r="F194" s="63" t="e">
        <f>#REF!</f>
        <v>#REF!</v>
      </c>
      <c r="G194" s="64" t="e">
        <f>#REF!</f>
        <v>#REF!</v>
      </c>
      <c r="H194" s="65"/>
      <c r="I194" s="17"/>
      <c r="J194" s="39" t="e">
        <f t="shared" si="17"/>
        <v>#REF!</v>
      </c>
      <c r="K194" s="40" t="e">
        <f t="shared" si="19"/>
        <v>#REF!</v>
      </c>
    </row>
    <row r="195" spans="1:13" ht="20.149999999999999" customHeight="1" x14ac:dyDescent="0.35">
      <c r="A195" s="17"/>
      <c r="B195" s="15"/>
      <c r="C195" s="15"/>
      <c r="D195" s="15"/>
      <c r="E195" s="15"/>
      <c r="F195" s="63" t="e">
        <f>#REF!</f>
        <v>#REF!</v>
      </c>
      <c r="G195" s="64" t="e">
        <f>#REF!</f>
        <v>#REF!</v>
      </c>
      <c r="H195" s="65"/>
      <c r="I195" s="17"/>
      <c r="J195" s="39" t="e">
        <f t="shared" si="17"/>
        <v>#REF!</v>
      </c>
      <c r="K195" s="40" t="e">
        <f t="shared" si="19"/>
        <v>#REF!</v>
      </c>
    </row>
    <row r="196" spans="1:13" ht="20.149999999999999" customHeight="1" x14ac:dyDescent="0.35">
      <c r="A196" s="17"/>
      <c r="B196" s="15"/>
      <c r="C196" s="15"/>
      <c r="D196" s="15"/>
      <c r="E196" s="15"/>
      <c r="F196" s="63" t="e">
        <f>#REF!</f>
        <v>#REF!</v>
      </c>
      <c r="G196" s="64" t="e">
        <f>#REF!</f>
        <v>#REF!</v>
      </c>
      <c r="H196" s="65"/>
      <c r="I196" s="17"/>
      <c r="J196" s="39" t="e">
        <f t="shared" si="17"/>
        <v>#REF!</v>
      </c>
      <c r="K196" s="40" t="e">
        <f t="shared" si="19"/>
        <v>#REF!</v>
      </c>
    </row>
    <row r="197" spans="1:13" ht="20.149999999999999" customHeight="1" thickBot="1" x14ac:dyDescent="0.4">
      <c r="A197" s="33"/>
      <c r="B197" s="32"/>
      <c r="C197" s="32"/>
      <c r="D197" s="32"/>
      <c r="E197" s="32"/>
      <c r="F197" s="71" t="e">
        <f>#REF!</f>
        <v>#REF!</v>
      </c>
      <c r="G197" s="72" t="e">
        <f>#REF!</f>
        <v>#REF!</v>
      </c>
      <c r="H197" s="73"/>
      <c r="I197" s="33"/>
      <c r="J197" s="74" t="e">
        <f t="shared" si="17"/>
        <v>#REF!</v>
      </c>
      <c r="K197" s="75" t="e">
        <f t="shared" si="19"/>
        <v>#REF!</v>
      </c>
    </row>
    <row r="198" spans="1:13" ht="20.149999999999999" customHeight="1" thickBot="1" x14ac:dyDescent="0.6">
      <c r="A198" s="109" t="s">
        <v>9</v>
      </c>
      <c r="B198" s="110"/>
      <c r="C198" s="110"/>
      <c r="D198" s="110"/>
      <c r="E198" s="110"/>
      <c r="F198" s="110"/>
      <c r="G198" s="110"/>
      <c r="H198" s="110"/>
      <c r="I198" s="111"/>
      <c r="J198" s="87">
        <v>409.95678002576386</v>
      </c>
      <c r="K198" s="88"/>
    </row>
    <row r="199" spans="1:13" ht="20.149999999999999" customHeight="1" thickBot="1" x14ac:dyDescent="0.6">
      <c r="A199" s="109" t="s">
        <v>27</v>
      </c>
      <c r="B199" s="110"/>
      <c r="C199" s="110"/>
      <c r="D199" s="110"/>
      <c r="E199" s="110"/>
      <c r="F199" s="110"/>
      <c r="G199" s="110"/>
      <c r="H199" s="110"/>
      <c r="I199" s="111"/>
      <c r="J199" s="89">
        <v>0</v>
      </c>
      <c r="K199" s="90"/>
    </row>
    <row r="200" spans="1:13" ht="24" thickBot="1" x14ac:dyDescent="0.6">
      <c r="A200" s="109" t="s">
        <v>55</v>
      </c>
      <c r="B200" s="110"/>
      <c r="C200" s="110"/>
      <c r="D200" s="110"/>
      <c r="E200" s="110"/>
      <c r="F200" s="110"/>
      <c r="G200" s="110"/>
      <c r="H200" s="110"/>
      <c r="I200" s="111"/>
      <c r="J200" s="89">
        <v>0</v>
      </c>
      <c r="K200" s="90"/>
    </row>
    <row r="201" spans="1:13" ht="24" thickBot="1" x14ac:dyDescent="0.6">
      <c r="A201" s="109" t="s">
        <v>11</v>
      </c>
      <c r="B201" s="110"/>
      <c r="C201" s="110"/>
      <c r="D201" s="110"/>
      <c r="E201" s="110"/>
      <c r="F201" s="110"/>
      <c r="G201" s="110"/>
      <c r="H201" s="110"/>
      <c r="I201" s="111"/>
      <c r="J201" s="87" t="e">
        <f>SUM(J161:J172)+SUM(J181:J192)</f>
        <v>#REF!</v>
      </c>
      <c r="K201" s="88"/>
    </row>
    <row r="202" spans="1:13" ht="24" customHeight="1" thickBot="1" x14ac:dyDescent="0.6">
      <c r="A202" s="109" t="s">
        <v>28</v>
      </c>
      <c r="B202" s="110"/>
      <c r="C202" s="110"/>
      <c r="D202" s="110"/>
      <c r="E202" s="110"/>
      <c r="F202" s="110"/>
      <c r="G202" s="110"/>
      <c r="H202" s="110"/>
      <c r="I202" s="111"/>
      <c r="J202" s="165">
        <v>348.25</v>
      </c>
      <c r="K202" s="166"/>
    </row>
    <row r="203" spans="1:13" ht="24" thickBot="1" x14ac:dyDescent="0.6">
      <c r="A203" s="109" t="s">
        <v>29</v>
      </c>
      <c r="B203" s="110"/>
      <c r="C203" s="110"/>
      <c r="D203" s="110"/>
      <c r="E203" s="110"/>
      <c r="F203" s="110"/>
      <c r="G203" s="110"/>
      <c r="H203" s="110"/>
      <c r="I203" s="111"/>
      <c r="J203" s="87" t="e">
        <f>J198+J199+J200-J201</f>
        <v>#REF!</v>
      </c>
      <c r="K203" s="88"/>
    </row>
    <row r="204" spans="1:13" ht="24" thickBot="1" x14ac:dyDescent="0.6">
      <c r="A204" s="109" t="s">
        <v>30</v>
      </c>
      <c r="B204" s="110"/>
      <c r="C204" s="110"/>
      <c r="D204" s="110"/>
      <c r="E204" s="110"/>
      <c r="F204" s="110"/>
      <c r="G204" s="110"/>
      <c r="H204" s="110"/>
      <c r="I204" s="111"/>
      <c r="J204" s="112" t="e">
        <f>J203/J202</f>
        <v>#REF!</v>
      </c>
      <c r="K204" s="113"/>
      <c r="L204" s="3"/>
      <c r="M204" s="2"/>
    </row>
    <row r="205" spans="1:13" ht="24" thickBot="1" x14ac:dyDescent="0.6">
      <c r="A205" s="85" t="s">
        <v>56</v>
      </c>
      <c r="B205" s="85"/>
      <c r="C205" s="85"/>
      <c r="D205" s="85"/>
      <c r="E205" s="85"/>
      <c r="F205" s="85"/>
      <c r="G205" s="85"/>
      <c r="H205" s="85"/>
      <c r="I205" s="86"/>
      <c r="J205" s="112" t="e">
        <f>((H223+H224+H226-J201)/H225)</f>
        <v>#REF!</v>
      </c>
      <c r="K205" s="113"/>
      <c r="L205" s="3"/>
      <c r="M205" s="2"/>
    </row>
    <row r="206" spans="1:13" ht="24" thickBot="1" x14ac:dyDescent="0.6">
      <c r="A206" s="160" t="s">
        <v>31</v>
      </c>
      <c r="B206" s="161"/>
      <c r="C206" s="161"/>
      <c r="D206" s="161"/>
      <c r="E206" s="161"/>
      <c r="F206" s="161"/>
      <c r="G206" s="161"/>
      <c r="H206" s="161"/>
      <c r="I206" s="162"/>
      <c r="J206" s="163">
        <v>4318.1256176473144</v>
      </c>
      <c r="K206" s="164"/>
      <c r="L206" s="3"/>
      <c r="M206" s="2"/>
    </row>
    <row r="207" spans="1:13" ht="24" thickBot="1" x14ac:dyDescent="0.6">
      <c r="A207" s="160" t="s">
        <v>32</v>
      </c>
      <c r="B207" s="161"/>
      <c r="C207" s="161"/>
      <c r="D207" s="161"/>
      <c r="E207" s="161"/>
      <c r="F207" s="161"/>
      <c r="G207" s="161"/>
      <c r="H207" s="161"/>
      <c r="I207" s="162"/>
      <c r="J207" s="163">
        <f>J57+J136+J199+J151</f>
        <v>0</v>
      </c>
      <c r="K207" s="164"/>
      <c r="L207" s="3"/>
      <c r="M207" s="2"/>
    </row>
    <row r="208" spans="1:13" ht="24" thickBot="1" x14ac:dyDescent="0.6">
      <c r="A208" s="160" t="s">
        <v>54</v>
      </c>
      <c r="B208" s="161"/>
      <c r="C208" s="161"/>
      <c r="D208" s="161"/>
      <c r="E208" s="161"/>
      <c r="F208" s="161"/>
      <c r="G208" s="161"/>
      <c r="H208" s="161"/>
      <c r="I208" s="162"/>
      <c r="J208" s="163">
        <f>J58+J137+J200+J152</f>
        <v>0</v>
      </c>
      <c r="K208" s="164"/>
      <c r="L208" s="3"/>
      <c r="M208" s="2"/>
    </row>
    <row r="209" spans="1:13" ht="24" thickBot="1" x14ac:dyDescent="0.6">
      <c r="A209" s="160" t="s">
        <v>33</v>
      </c>
      <c r="B209" s="161"/>
      <c r="C209" s="161"/>
      <c r="D209" s="161"/>
      <c r="E209" s="161"/>
      <c r="F209" s="161"/>
      <c r="G209" s="161"/>
      <c r="H209" s="161"/>
      <c r="I209" s="162"/>
      <c r="J209" s="163" t="e">
        <f>J59+J138+J201+J153</f>
        <v>#DIV/0!</v>
      </c>
      <c r="K209" s="164"/>
      <c r="L209" s="3"/>
      <c r="M209" s="2"/>
    </row>
    <row r="210" spans="1:13" ht="24" thickBot="1" x14ac:dyDescent="0.6">
      <c r="A210" s="160" t="s">
        <v>34</v>
      </c>
      <c r="B210" s="161"/>
      <c r="C210" s="161"/>
      <c r="D210" s="161"/>
      <c r="E210" s="161"/>
      <c r="F210" s="161"/>
      <c r="G210" s="161"/>
      <c r="H210" s="161"/>
      <c r="I210" s="162"/>
      <c r="J210" s="163">
        <f>J60+J139+J202+J154</f>
        <v>3485.75</v>
      </c>
      <c r="K210" s="164"/>
      <c r="L210" s="3"/>
      <c r="M210" s="2"/>
    </row>
    <row r="211" spans="1:13" ht="24" thickBot="1" x14ac:dyDescent="0.6">
      <c r="A211" s="160" t="s">
        <v>35</v>
      </c>
      <c r="B211" s="161"/>
      <c r="C211" s="161"/>
      <c r="D211" s="161"/>
      <c r="E211" s="161"/>
      <c r="F211" s="161"/>
      <c r="G211" s="161"/>
      <c r="H211" s="161"/>
      <c r="I211" s="162"/>
      <c r="J211" s="163" t="e">
        <f>J206+J207+J208-J209</f>
        <v>#DIV/0!</v>
      </c>
      <c r="K211" s="164"/>
      <c r="L211" s="3"/>
      <c r="M211" s="2"/>
    </row>
    <row r="212" spans="1:13" ht="24" thickBot="1" x14ac:dyDescent="0.6">
      <c r="A212" s="160" t="s">
        <v>36</v>
      </c>
      <c r="B212" s="161"/>
      <c r="C212" s="161"/>
      <c r="D212" s="161"/>
      <c r="E212" s="161"/>
      <c r="F212" s="161"/>
      <c r="G212" s="161"/>
      <c r="H212" s="161"/>
      <c r="I212" s="162"/>
      <c r="J212" s="167" t="e">
        <f>J211/J210</f>
        <v>#DIV/0!</v>
      </c>
      <c r="K212" s="168"/>
      <c r="L212" s="3"/>
      <c r="M212" s="2"/>
    </row>
    <row r="213" spans="1:13" ht="24" thickBot="1" x14ac:dyDescent="0.6">
      <c r="A213" s="169" t="s">
        <v>57</v>
      </c>
      <c r="B213" s="170"/>
      <c r="C213" s="170"/>
      <c r="D213" s="170"/>
      <c r="E213" s="170"/>
      <c r="F213" s="170"/>
      <c r="G213" s="170"/>
      <c r="H213" s="170"/>
      <c r="I213" s="171"/>
      <c r="J213" s="172" t="e">
        <f>((K223+K224+K226-J209))/K225</f>
        <v>#DIV/0!</v>
      </c>
      <c r="K213" s="173"/>
      <c r="L213" s="3"/>
      <c r="M213" s="2"/>
    </row>
    <row r="214" spans="1:13" ht="24" thickBot="1" x14ac:dyDescent="0.6">
      <c r="A214" s="190" t="s">
        <v>37</v>
      </c>
      <c r="B214" s="191"/>
      <c r="C214" s="191"/>
      <c r="D214" s="191"/>
      <c r="E214" s="191"/>
      <c r="F214" s="191"/>
      <c r="G214" s="191"/>
      <c r="H214" s="191"/>
      <c r="I214" s="191"/>
      <c r="J214" s="191"/>
      <c r="K214" s="192"/>
      <c r="L214" s="3"/>
      <c r="M214" s="2"/>
    </row>
    <row r="215" spans="1:13" ht="15" thickBot="1" x14ac:dyDescent="0.4">
      <c r="A215" s="193" t="s">
        <v>8</v>
      </c>
      <c r="B215" s="194"/>
      <c r="C215" s="194"/>
      <c r="D215" s="194"/>
      <c r="E215" s="195"/>
      <c r="F215" s="20" t="s">
        <v>38</v>
      </c>
      <c r="G215" s="19" t="s">
        <v>42</v>
      </c>
      <c r="H215" s="19" t="s">
        <v>43</v>
      </c>
      <c r="I215" s="19" t="s">
        <v>47</v>
      </c>
      <c r="J215" s="21" t="s">
        <v>46</v>
      </c>
      <c r="K215" s="21" t="s">
        <v>71</v>
      </c>
      <c r="L215" s="3"/>
      <c r="M215" s="2"/>
    </row>
    <row r="216" spans="1:13" x14ac:dyDescent="0.35">
      <c r="A216" s="196" t="s">
        <v>39</v>
      </c>
      <c r="B216" s="197"/>
      <c r="C216" s="197"/>
      <c r="D216" s="197"/>
      <c r="E216" s="198"/>
      <c r="F216" s="22">
        <v>70</v>
      </c>
      <c r="G216" s="46" t="s">
        <v>38</v>
      </c>
      <c r="H216" s="23"/>
      <c r="I216" s="24">
        <v>1</v>
      </c>
      <c r="J216" s="24">
        <v>13</v>
      </c>
      <c r="K216" s="25">
        <v>40</v>
      </c>
      <c r="L216" s="3"/>
      <c r="M216" s="2"/>
    </row>
    <row r="217" spans="1:13" ht="15" thickBot="1" x14ac:dyDescent="0.4">
      <c r="A217" s="199" t="s">
        <v>40</v>
      </c>
      <c r="B217" s="200"/>
      <c r="C217" s="200"/>
      <c r="D217" s="200"/>
      <c r="E217" s="201"/>
      <c r="F217" s="26">
        <v>36</v>
      </c>
      <c r="G217" s="47" t="s">
        <v>52</v>
      </c>
      <c r="H217" s="185" t="e">
        <f>(H216*34)+(I216*17)+(J216*8)+(K216*6)-((SUM(K161:K171))+(SUM(K181:K189)))</f>
        <v>#REF!</v>
      </c>
      <c r="I217" s="186"/>
      <c r="J217" s="186"/>
      <c r="K217" s="187"/>
      <c r="L217" s="3"/>
    </row>
    <row r="218" spans="1:13" ht="15" thickBot="1" x14ac:dyDescent="0.4">
      <c r="A218" s="199" t="s">
        <v>41</v>
      </c>
      <c r="B218" s="200"/>
      <c r="C218" s="200"/>
      <c r="D218" s="200"/>
      <c r="E218" s="201"/>
      <c r="F218" s="26">
        <v>0</v>
      </c>
      <c r="G218" s="202" t="s">
        <v>45</v>
      </c>
      <c r="H218" s="203"/>
      <c r="I218" s="203"/>
      <c r="J218" s="203"/>
      <c r="K218" s="204"/>
      <c r="L218" s="3"/>
    </row>
    <row r="219" spans="1:13" x14ac:dyDescent="0.35">
      <c r="A219" s="174" t="s">
        <v>48</v>
      </c>
      <c r="B219" s="175"/>
      <c r="C219" s="175"/>
      <c r="D219" s="175"/>
      <c r="E219" s="176"/>
      <c r="F219" s="180" t="e">
        <f>(F216+(F217*2)+(F218*3))-(SUM(K5:K37))</f>
        <v>#DIV/0!</v>
      </c>
      <c r="G219" s="46" t="s">
        <v>38</v>
      </c>
      <c r="H219" s="182">
        <v>287</v>
      </c>
      <c r="I219" s="183"/>
      <c r="J219" s="183"/>
      <c r="K219" s="184"/>
      <c r="L219" s="3"/>
    </row>
    <row r="220" spans="1:13" ht="15" thickBot="1" x14ac:dyDescent="0.4">
      <c r="A220" s="177"/>
      <c r="B220" s="178"/>
      <c r="C220" s="178"/>
      <c r="D220" s="178"/>
      <c r="E220" s="179"/>
      <c r="F220" s="181"/>
      <c r="G220" s="47" t="s">
        <v>52</v>
      </c>
      <c r="H220" s="185">
        <f>H219-(SUM(K109:K134))</f>
        <v>457</v>
      </c>
      <c r="I220" s="186"/>
      <c r="J220" s="186"/>
      <c r="K220" s="187"/>
      <c r="L220" s="3"/>
    </row>
    <row r="221" spans="1:13" x14ac:dyDescent="0.35">
      <c r="A221" s="188"/>
      <c r="B221" s="188"/>
      <c r="C221" s="188"/>
      <c r="D221" s="188"/>
      <c r="E221" s="188"/>
      <c r="F221" s="10"/>
      <c r="H221" s="189"/>
      <c r="I221" s="189"/>
      <c r="J221" s="189"/>
      <c r="K221" s="189"/>
      <c r="L221" s="3"/>
    </row>
    <row r="222" spans="1:13" x14ac:dyDescent="0.35">
      <c r="A222" s="208"/>
      <c r="B222" s="208"/>
      <c r="C222" s="208"/>
      <c r="D222" s="208"/>
      <c r="E222" s="208"/>
      <c r="F222" s="11" t="s">
        <v>8</v>
      </c>
      <c r="G222" s="11" t="s">
        <v>49</v>
      </c>
      <c r="H222" s="209" t="s">
        <v>50</v>
      </c>
      <c r="I222" s="209"/>
      <c r="J222" t="s">
        <v>61</v>
      </c>
      <c r="K222" t="s">
        <v>51</v>
      </c>
      <c r="L222" s="3"/>
    </row>
    <row r="223" spans="1:13" x14ac:dyDescent="0.35">
      <c r="A223" s="205" t="s">
        <v>9</v>
      </c>
      <c r="B223" s="205"/>
      <c r="C223" s="205"/>
      <c r="D223" s="205"/>
      <c r="E223" s="205"/>
      <c r="F223" s="12">
        <f>J56</f>
        <v>1713.9906492157534</v>
      </c>
      <c r="G223" s="12">
        <f>J135</f>
        <v>1757.8899999999999</v>
      </c>
      <c r="H223" s="206">
        <f>J198</f>
        <v>409.95678002576386</v>
      </c>
      <c r="I223" s="206"/>
      <c r="J223" s="49">
        <f>J150</f>
        <v>436.28818840579714</v>
      </c>
      <c r="K223" s="13">
        <f>SUM(F223:J223)</f>
        <v>4318.1256176473144</v>
      </c>
      <c r="L223" s="3"/>
    </row>
    <row r="224" spans="1:13" x14ac:dyDescent="0.35">
      <c r="A224" s="205" t="s">
        <v>58</v>
      </c>
      <c r="B224" s="205"/>
      <c r="C224" s="205"/>
      <c r="D224" s="205"/>
      <c r="E224" s="205"/>
      <c r="F224" s="12">
        <f>J57</f>
        <v>0</v>
      </c>
      <c r="G224" s="12">
        <f>J136</f>
        <v>0</v>
      </c>
      <c r="H224" s="206">
        <f>J199</f>
        <v>0</v>
      </c>
      <c r="I224" s="206"/>
      <c r="J224" s="49">
        <f>J151</f>
        <v>0</v>
      </c>
      <c r="K224" s="13">
        <f>SUM(F224:J224)</f>
        <v>0</v>
      </c>
      <c r="L224" s="3"/>
    </row>
    <row r="225" spans="1:16" x14ac:dyDescent="0.35">
      <c r="A225" s="205" t="s">
        <v>59</v>
      </c>
      <c r="B225" s="205"/>
      <c r="C225" s="205"/>
      <c r="D225" s="205"/>
      <c r="E225" s="205"/>
      <c r="F225" s="12">
        <f>J60</f>
        <v>798.75</v>
      </c>
      <c r="G225" s="12">
        <f>J139</f>
        <v>1739.25</v>
      </c>
      <c r="H225" s="206">
        <f>J202</f>
        <v>348.25</v>
      </c>
      <c r="I225" s="206"/>
      <c r="J225" s="49">
        <f>J154</f>
        <v>599.5</v>
      </c>
      <c r="K225" s="13">
        <f>SUM(F225:J225)</f>
        <v>3485.75</v>
      </c>
      <c r="L225" s="3"/>
    </row>
    <row r="226" spans="1:16" x14ac:dyDescent="0.35">
      <c r="A226" s="205" t="s">
        <v>60</v>
      </c>
      <c r="B226" s="205"/>
      <c r="C226" s="205"/>
      <c r="D226" s="205"/>
      <c r="E226" s="205"/>
      <c r="F226" s="48">
        <f>J58</f>
        <v>0</v>
      </c>
      <c r="G226" s="49">
        <f>J137</f>
        <v>0</v>
      </c>
      <c r="H226" s="207">
        <f>J200</f>
        <v>0</v>
      </c>
      <c r="I226" s="207"/>
      <c r="J226" s="49">
        <f>J152</f>
        <v>0</v>
      </c>
      <c r="K226" s="49">
        <f>SUM(F226:J226)</f>
        <v>0</v>
      </c>
      <c r="L226" s="3"/>
    </row>
    <row r="227" spans="1:16" x14ac:dyDescent="0.35">
      <c r="A227" s="205"/>
      <c r="B227" s="205"/>
      <c r="C227" s="205"/>
      <c r="D227" s="205"/>
      <c r="E227" s="205"/>
      <c r="F227" s="10"/>
      <c r="J227" s="8"/>
      <c r="L227" s="3"/>
    </row>
    <row r="228" spans="1:16" x14ac:dyDescent="0.35">
      <c r="A228" s="205"/>
      <c r="B228" s="205"/>
      <c r="C228" s="205"/>
      <c r="D228" s="205"/>
      <c r="E228" s="205"/>
      <c r="F228" s="10"/>
      <c r="J228" s="8"/>
      <c r="L228" s="3"/>
    </row>
    <row r="229" spans="1:16" x14ac:dyDescent="0.35">
      <c r="A229" s="208"/>
      <c r="B229" s="208"/>
      <c r="C229" s="208"/>
      <c r="D229" s="208"/>
      <c r="E229" s="208"/>
      <c r="F229" s="7"/>
      <c r="J229" s="8"/>
      <c r="L229" s="3"/>
    </row>
    <row r="230" spans="1:16" x14ac:dyDescent="0.35">
      <c r="A230" s="205"/>
      <c r="B230" s="205"/>
      <c r="C230" s="205"/>
      <c r="D230" s="205"/>
      <c r="E230" s="205"/>
      <c r="F230" s="10"/>
      <c r="J230" s="8"/>
      <c r="L230" s="2"/>
    </row>
    <row r="231" spans="1:16" x14ac:dyDescent="0.35">
      <c r="A231" s="205"/>
      <c r="B231" s="205"/>
      <c r="C231" s="205"/>
      <c r="D231" s="205"/>
      <c r="E231" s="205"/>
      <c r="F231" s="10"/>
      <c r="J231" s="8"/>
      <c r="L231" s="2"/>
    </row>
    <row r="232" spans="1:16" x14ac:dyDescent="0.35">
      <c r="A232" s="205"/>
      <c r="B232" s="205"/>
      <c r="C232" s="205"/>
      <c r="D232" s="205"/>
      <c r="E232" s="205"/>
      <c r="F232" s="10"/>
      <c r="J232" s="8"/>
      <c r="L232" s="2"/>
      <c r="M232" s="3"/>
      <c r="N232" s="4"/>
      <c r="O232" s="4"/>
      <c r="P232" s="4"/>
    </row>
    <row r="233" spans="1:16" x14ac:dyDescent="0.35">
      <c r="A233" s="205"/>
      <c r="B233" s="205"/>
      <c r="C233" s="205"/>
      <c r="D233" s="205"/>
      <c r="E233" s="205"/>
      <c r="F233" s="10"/>
      <c r="J233" s="8"/>
      <c r="L233" s="2"/>
    </row>
    <row r="234" spans="1:16" x14ac:dyDescent="0.35">
      <c r="A234" s="205"/>
      <c r="B234" s="205"/>
      <c r="C234" s="205"/>
      <c r="D234" s="205"/>
      <c r="E234" s="205"/>
      <c r="F234" s="10"/>
      <c r="J234" s="8"/>
      <c r="L234" s="2"/>
      <c r="M234" s="3"/>
      <c r="N234" s="4"/>
      <c r="O234" s="4"/>
      <c r="P234" s="4"/>
    </row>
    <row r="235" spans="1:16" x14ac:dyDescent="0.35">
      <c r="A235" s="205"/>
      <c r="B235" s="205"/>
      <c r="C235" s="205"/>
      <c r="D235" s="205"/>
      <c r="E235" s="205"/>
      <c r="F235" s="10"/>
      <c r="J235" s="8"/>
      <c r="L235" s="2"/>
      <c r="M235" s="3"/>
      <c r="N235" s="4"/>
      <c r="O235" s="4"/>
      <c r="P235" s="4"/>
    </row>
    <row r="236" spans="1:16" x14ac:dyDescent="0.35">
      <c r="A236" s="208"/>
      <c r="B236" s="208"/>
      <c r="C236" s="208"/>
      <c r="D236" s="208"/>
      <c r="E236" s="208"/>
      <c r="F236" s="7"/>
      <c r="J236" s="8"/>
      <c r="L236" s="2"/>
      <c r="M236" s="3"/>
      <c r="N236" s="4"/>
      <c r="O236" s="4"/>
      <c r="P236" s="4"/>
    </row>
    <row r="237" spans="1:16" x14ac:dyDescent="0.35">
      <c r="A237" s="208"/>
      <c r="B237" s="208"/>
      <c r="C237" s="208"/>
      <c r="D237" s="208"/>
      <c r="E237" s="208"/>
      <c r="F237" s="7"/>
      <c r="J237" s="8"/>
      <c r="L237" s="2"/>
      <c r="M237" s="3"/>
      <c r="N237" s="4"/>
      <c r="O237" s="4"/>
      <c r="P237" s="4"/>
    </row>
    <row r="238" spans="1:16" x14ac:dyDescent="0.35">
      <c r="A238" s="6"/>
      <c r="B238" s="6"/>
      <c r="C238" s="6"/>
      <c r="D238" s="6"/>
      <c r="E238" s="6"/>
      <c r="F238" s="6"/>
      <c r="J238" s="8"/>
      <c r="L238" s="2"/>
      <c r="M238" s="3"/>
      <c r="N238" s="2"/>
      <c r="O238" s="4"/>
      <c r="P238" s="4"/>
    </row>
    <row r="239" spans="1:16" x14ac:dyDescent="0.35">
      <c r="A239" s="6"/>
      <c r="B239" s="6"/>
      <c r="C239" s="6"/>
      <c r="D239" s="6"/>
      <c r="E239" s="6"/>
      <c r="F239" s="6"/>
      <c r="J239" s="8"/>
      <c r="L239" s="4"/>
      <c r="M239" s="3"/>
      <c r="N239" s="2"/>
      <c r="O239" s="4"/>
      <c r="P239" s="4"/>
    </row>
    <row r="240" spans="1:16" x14ac:dyDescent="0.35">
      <c r="A240" s="6"/>
      <c r="B240" s="6"/>
      <c r="C240" s="6"/>
      <c r="D240" s="6"/>
      <c r="E240" s="6"/>
      <c r="F240" s="6"/>
      <c r="G240" s="9"/>
      <c r="H240" s="9"/>
      <c r="I240" s="9"/>
      <c r="J240" s="9"/>
      <c r="K240" s="9"/>
      <c r="L240" s="2"/>
      <c r="M240" s="3"/>
      <c r="N240" s="4"/>
      <c r="O240" s="4"/>
      <c r="P240" s="4"/>
    </row>
    <row r="241" spans="1:16" x14ac:dyDescent="0.35">
      <c r="A241" s="6"/>
      <c r="B241" s="6"/>
      <c r="C241" s="6"/>
      <c r="D241" s="6"/>
      <c r="E241" s="6"/>
      <c r="F241" s="6"/>
      <c r="G241" s="9"/>
      <c r="H241" s="9"/>
      <c r="I241" s="9"/>
      <c r="J241" s="9"/>
      <c r="K241" s="9"/>
      <c r="L241" s="2"/>
      <c r="M241" s="3"/>
      <c r="N241" s="2"/>
      <c r="O241" s="4"/>
      <c r="P241" s="4"/>
    </row>
    <row r="242" spans="1:16" x14ac:dyDescent="0.35">
      <c r="A242" s="6"/>
      <c r="B242" s="6"/>
      <c r="C242" s="6"/>
      <c r="D242" s="6"/>
      <c r="E242" s="6"/>
      <c r="F242" s="7"/>
      <c r="G242" s="6"/>
      <c r="H242" s="6"/>
      <c r="I242" s="6"/>
      <c r="J242" s="6"/>
      <c r="K242" s="7"/>
      <c r="L242" s="2"/>
      <c r="M242" s="3"/>
      <c r="N242" s="2"/>
      <c r="O242" s="4"/>
      <c r="P242" s="4"/>
    </row>
    <row r="243" spans="1:16" x14ac:dyDescent="0.35">
      <c r="F243" s="8"/>
      <c r="G243" s="8"/>
      <c r="H243" s="8"/>
      <c r="I243" s="8"/>
      <c r="J243" s="8"/>
      <c r="L243" s="2"/>
      <c r="M243" s="3"/>
      <c r="N243" s="2"/>
      <c r="O243" s="4"/>
      <c r="P243" s="4"/>
    </row>
    <row r="244" spans="1:16" x14ac:dyDescent="0.35">
      <c r="F244" s="8"/>
      <c r="G244" s="8"/>
      <c r="H244" s="8"/>
      <c r="I244" s="8"/>
      <c r="J244" s="8"/>
      <c r="L244" s="2"/>
      <c r="M244" s="3"/>
      <c r="N244" s="2"/>
      <c r="O244" s="4"/>
      <c r="P244" s="4"/>
    </row>
    <row r="245" spans="1:16" x14ac:dyDescent="0.35">
      <c r="F245" s="8"/>
      <c r="G245" s="8"/>
      <c r="H245" s="8"/>
      <c r="I245" s="8"/>
      <c r="J245" s="8"/>
      <c r="L245" s="4"/>
      <c r="M245" s="3"/>
      <c r="N245" s="4"/>
      <c r="O245" s="4"/>
      <c r="P245" s="4"/>
    </row>
    <row r="246" spans="1:16" x14ac:dyDescent="0.35">
      <c r="F246" s="8"/>
      <c r="G246" s="8"/>
      <c r="H246" s="8"/>
      <c r="I246" s="8"/>
      <c r="J246" s="8"/>
      <c r="L246" s="2"/>
      <c r="M246" s="3"/>
      <c r="N246" s="2"/>
      <c r="O246" s="4"/>
      <c r="P246" s="4"/>
    </row>
    <row r="247" spans="1:16" x14ac:dyDescent="0.35">
      <c r="F247" s="8"/>
      <c r="G247" s="8"/>
      <c r="H247" s="8"/>
      <c r="I247" s="8"/>
      <c r="J247" s="8"/>
      <c r="L247" s="2"/>
      <c r="M247" s="3"/>
      <c r="N247" s="2"/>
      <c r="O247" s="4"/>
      <c r="P247" s="4"/>
    </row>
    <row r="248" spans="1:16" x14ac:dyDescent="0.35">
      <c r="F248" s="8"/>
      <c r="G248" s="8"/>
      <c r="H248" s="8"/>
      <c r="I248" s="8"/>
      <c r="J248" s="8"/>
      <c r="L248" s="2"/>
      <c r="M248" s="3"/>
      <c r="N248" s="2"/>
      <c r="O248" s="4"/>
      <c r="P248" s="4"/>
    </row>
    <row r="249" spans="1:16" x14ac:dyDescent="0.35">
      <c r="F249" s="8"/>
      <c r="G249" s="8"/>
      <c r="H249" s="8"/>
      <c r="I249" s="8"/>
      <c r="J249" s="8"/>
      <c r="L249" s="2"/>
      <c r="M249" s="3"/>
      <c r="N249" s="2"/>
      <c r="O249" s="4"/>
      <c r="P249" s="4"/>
    </row>
    <row r="250" spans="1:16" x14ac:dyDescent="0.35">
      <c r="F250" s="8"/>
      <c r="G250" s="8"/>
      <c r="H250" s="8"/>
      <c r="I250" s="8"/>
      <c r="J250" s="8"/>
      <c r="L250" s="2"/>
      <c r="M250" s="3"/>
      <c r="N250" s="2"/>
      <c r="O250" s="4"/>
      <c r="P250" s="4"/>
    </row>
    <row r="251" spans="1:16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L251" s="2"/>
      <c r="M251" s="3"/>
      <c r="N251" s="2"/>
      <c r="O251" s="4"/>
      <c r="P251" s="4"/>
    </row>
    <row r="252" spans="1:16" x14ac:dyDescent="0.35">
      <c r="L252" s="2"/>
      <c r="M252" s="3"/>
      <c r="N252" s="2"/>
      <c r="O252" s="4"/>
      <c r="P252" s="4"/>
    </row>
    <row r="253" spans="1:16" x14ac:dyDescent="0.35">
      <c r="L253" s="2"/>
      <c r="M253" s="3"/>
      <c r="N253" s="2"/>
      <c r="O253" s="4"/>
      <c r="P253" s="4"/>
    </row>
    <row r="254" spans="1:16" x14ac:dyDescent="0.35">
      <c r="L254" s="2"/>
      <c r="M254" s="3"/>
      <c r="N254" s="2"/>
      <c r="O254" s="4"/>
      <c r="P254" s="5"/>
    </row>
  </sheetData>
  <sheetProtection selectLockedCells="1" selectUnlockedCells="1"/>
  <mergeCells count="185">
    <mergeCell ref="A235:E235"/>
    <mergeCell ref="A236:E236"/>
    <mergeCell ref="A237:E237"/>
    <mergeCell ref="A229:E229"/>
    <mergeCell ref="A230:E230"/>
    <mergeCell ref="A231:E231"/>
    <mergeCell ref="A232:E232"/>
    <mergeCell ref="A233:E233"/>
    <mergeCell ref="A234:E234"/>
    <mergeCell ref="A225:E225"/>
    <mergeCell ref="H225:I225"/>
    <mergeCell ref="A226:E226"/>
    <mergeCell ref="H226:I226"/>
    <mergeCell ref="A227:E227"/>
    <mergeCell ref="A228:E228"/>
    <mergeCell ref="A222:E222"/>
    <mergeCell ref="H222:I222"/>
    <mergeCell ref="A223:E223"/>
    <mergeCell ref="H223:I223"/>
    <mergeCell ref="A224:E224"/>
    <mergeCell ref="H224:I224"/>
    <mergeCell ref="A219:E220"/>
    <mergeCell ref="F219:F220"/>
    <mergeCell ref="H219:K219"/>
    <mergeCell ref="H220:K220"/>
    <mergeCell ref="A221:E221"/>
    <mergeCell ref="H221:K221"/>
    <mergeCell ref="A214:K214"/>
    <mergeCell ref="A215:E215"/>
    <mergeCell ref="A216:E216"/>
    <mergeCell ref="A217:E217"/>
    <mergeCell ref="H217:K217"/>
    <mergeCell ref="A218:E218"/>
    <mergeCell ref="G218:K218"/>
    <mergeCell ref="A211:I211"/>
    <mergeCell ref="J211:K211"/>
    <mergeCell ref="A212:I212"/>
    <mergeCell ref="J212:K212"/>
    <mergeCell ref="A213:I213"/>
    <mergeCell ref="J213:K213"/>
    <mergeCell ref="A208:I208"/>
    <mergeCell ref="J208:K208"/>
    <mergeCell ref="A209:I209"/>
    <mergeCell ref="J209:K209"/>
    <mergeCell ref="A210:I210"/>
    <mergeCell ref="J210:K210"/>
    <mergeCell ref="A205:I205"/>
    <mergeCell ref="J205:K205"/>
    <mergeCell ref="A206:I206"/>
    <mergeCell ref="J206:K206"/>
    <mergeCell ref="A207:I207"/>
    <mergeCell ref="J207:K207"/>
    <mergeCell ref="A202:I202"/>
    <mergeCell ref="J202:K202"/>
    <mergeCell ref="A203:I203"/>
    <mergeCell ref="J203:K203"/>
    <mergeCell ref="A204:I204"/>
    <mergeCell ref="J204:K204"/>
    <mergeCell ref="A199:I199"/>
    <mergeCell ref="J199:K199"/>
    <mergeCell ref="A200:I200"/>
    <mergeCell ref="J200:K200"/>
    <mergeCell ref="A201:I201"/>
    <mergeCell ref="J201:K201"/>
    <mergeCell ref="J158:J159"/>
    <mergeCell ref="K158:K159"/>
    <mergeCell ref="A160:K160"/>
    <mergeCell ref="A180:K180"/>
    <mergeCell ref="A198:I198"/>
    <mergeCell ref="J198:K198"/>
    <mergeCell ref="A156:I156"/>
    <mergeCell ref="J156:K156"/>
    <mergeCell ref="A157:I157"/>
    <mergeCell ref="J157:K157"/>
    <mergeCell ref="A158:A159"/>
    <mergeCell ref="B158:E158"/>
    <mergeCell ref="F158:F159"/>
    <mergeCell ref="G158:G159"/>
    <mergeCell ref="H158:H159"/>
    <mergeCell ref="I158:I159"/>
    <mergeCell ref="A153:I153"/>
    <mergeCell ref="J153:K153"/>
    <mergeCell ref="A154:I154"/>
    <mergeCell ref="J154:K154"/>
    <mergeCell ref="A155:I155"/>
    <mergeCell ref="J155:K155"/>
    <mergeCell ref="A145:K145"/>
    <mergeCell ref="A150:I150"/>
    <mergeCell ref="J150:K150"/>
    <mergeCell ref="A151:I151"/>
    <mergeCell ref="J151:K151"/>
    <mergeCell ref="A152:I152"/>
    <mergeCell ref="J152:K152"/>
    <mergeCell ref="A142:I142"/>
    <mergeCell ref="J142:K142"/>
    <mergeCell ref="A143:A144"/>
    <mergeCell ref="B143:E143"/>
    <mergeCell ref="F143:F144"/>
    <mergeCell ref="G143:G144"/>
    <mergeCell ref="H143:H144"/>
    <mergeCell ref="I143:I144"/>
    <mergeCell ref="J143:J144"/>
    <mergeCell ref="K143:K144"/>
    <mergeCell ref="A139:I139"/>
    <mergeCell ref="J139:K139"/>
    <mergeCell ref="A140:I140"/>
    <mergeCell ref="J140:K140"/>
    <mergeCell ref="A141:I141"/>
    <mergeCell ref="J141:K141"/>
    <mergeCell ref="A136:I136"/>
    <mergeCell ref="J136:K136"/>
    <mergeCell ref="A137:I137"/>
    <mergeCell ref="J137:K137"/>
    <mergeCell ref="A138:I138"/>
    <mergeCell ref="J138:K138"/>
    <mergeCell ref="J106:J107"/>
    <mergeCell ref="K106:K107"/>
    <mergeCell ref="A108:K108"/>
    <mergeCell ref="A125:K125"/>
    <mergeCell ref="A135:I135"/>
    <mergeCell ref="J135:K135"/>
    <mergeCell ref="A106:A107"/>
    <mergeCell ref="B106:E106"/>
    <mergeCell ref="F106:F107"/>
    <mergeCell ref="G106:G107"/>
    <mergeCell ref="H106:H107"/>
    <mergeCell ref="I106:I107"/>
    <mergeCell ref="A102:I102"/>
    <mergeCell ref="J102:K102"/>
    <mergeCell ref="A103:I103"/>
    <mergeCell ref="J103:K103"/>
    <mergeCell ref="A104:I104"/>
    <mergeCell ref="J104:K104"/>
    <mergeCell ref="A99:I99"/>
    <mergeCell ref="J99:K99"/>
    <mergeCell ref="A100:I100"/>
    <mergeCell ref="J100:K100"/>
    <mergeCell ref="A101:I101"/>
    <mergeCell ref="J101:K101"/>
    <mergeCell ref="J64:J65"/>
    <mergeCell ref="K64:K65"/>
    <mergeCell ref="A66:K66"/>
    <mergeCell ref="A97:I97"/>
    <mergeCell ref="J97:K97"/>
    <mergeCell ref="A98:I98"/>
    <mergeCell ref="J98:K98"/>
    <mergeCell ref="A64:A65"/>
    <mergeCell ref="B64:E64"/>
    <mergeCell ref="F64:F65"/>
    <mergeCell ref="G64:G65"/>
    <mergeCell ref="H64:H65"/>
    <mergeCell ref="I64:I65"/>
    <mergeCell ref="A61:I61"/>
    <mergeCell ref="J61:K61"/>
    <mergeCell ref="A62:I62"/>
    <mergeCell ref="J62:K62"/>
    <mergeCell ref="A63:I63"/>
    <mergeCell ref="J63:K63"/>
    <mergeCell ref="A58:I58"/>
    <mergeCell ref="J58:K58"/>
    <mergeCell ref="A59:I59"/>
    <mergeCell ref="J59:K59"/>
    <mergeCell ref="A60:I60"/>
    <mergeCell ref="J60:K60"/>
    <mergeCell ref="A38:K38"/>
    <mergeCell ref="A44:K44"/>
    <mergeCell ref="A56:I56"/>
    <mergeCell ref="J56:K56"/>
    <mergeCell ref="A57:I57"/>
    <mergeCell ref="J57:K57"/>
    <mergeCell ref="A4:K4"/>
    <mergeCell ref="A9:K9"/>
    <mergeCell ref="A14:K14"/>
    <mergeCell ref="A22:K22"/>
    <mergeCell ref="A25:K25"/>
    <mergeCell ref="A31:K31"/>
    <mergeCell ref="A1:K1"/>
    <mergeCell ref="A2:A3"/>
    <mergeCell ref="B2:E2"/>
    <mergeCell ref="F2:F3"/>
    <mergeCell ref="G2:G3"/>
    <mergeCell ref="H2:H3"/>
    <mergeCell ref="I2:I3"/>
    <mergeCell ref="J2:J3"/>
    <mergeCell ref="K2:K3"/>
  </mergeCells>
  <conditionalFormatting sqref="L229:L236 M232:O232 M234:O236 P254">
    <cfRule type="cellIs" dxfId="5" priority="1" stopIfTrue="1" operator="lessThan">
      <formula>0</formula>
    </cfRule>
  </conditionalFormatting>
  <pageMargins left="0.28000000000000003" right="0.09" top="0.26" bottom="0.25" header="0.25" footer="0.25"/>
  <pageSetup orientation="portrait" blackAndWhite="1" r:id="rId1"/>
  <rowBreaks count="2" manualBreakCount="2">
    <brk id="105" max="10" man="1"/>
    <brk id="157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BD564-7E98-42E8-B779-AB11F9F3008C}">
  <dimension ref="A1:R255"/>
  <sheetViews>
    <sheetView zoomScale="98" zoomScaleNormal="98" workbookViewId="0">
      <selection sqref="A1:K1"/>
    </sheetView>
  </sheetViews>
  <sheetFormatPr defaultRowHeight="14.5" x14ac:dyDescent="0.35"/>
  <cols>
    <col min="1" max="5" width="5.7265625" customWidth="1"/>
    <col min="6" max="6" width="32" customWidth="1"/>
    <col min="7" max="7" width="10.54296875" customWidth="1"/>
    <col min="8" max="8" width="8.54296875" customWidth="1"/>
    <col min="9" max="9" width="8.7265625" customWidth="1"/>
    <col min="10" max="11" width="10.54296875" customWidth="1"/>
  </cols>
  <sheetData>
    <row r="1" spans="1:18" ht="15" thickBot="1" x14ac:dyDescent="0.4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6"/>
      <c r="R1" s="8"/>
    </row>
    <row r="2" spans="1:18" x14ac:dyDescent="0.35">
      <c r="A2" s="117" t="s">
        <v>0</v>
      </c>
      <c r="B2" s="119" t="s">
        <v>1</v>
      </c>
      <c r="C2" s="119"/>
      <c r="D2" s="119"/>
      <c r="E2" s="119"/>
      <c r="F2" s="94" t="s">
        <v>2</v>
      </c>
      <c r="G2" s="120" t="s">
        <v>3</v>
      </c>
      <c r="H2" s="94" t="s">
        <v>4</v>
      </c>
      <c r="I2" s="94" t="s">
        <v>5</v>
      </c>
      <c r="J2" s="94" t="s">
        <v>6</v>
      </c>
      <c r="K2" s="96" t="s">
        <v>7</v>
      </c>
    </row>
    <row r="3" spans="1:18" x14ac:dyDescent="0.35">
      <c r="A3" s="118"/>
      <c r="B3" s="27">
        <v>1</v>
      </c>
      <c r="C3" s="27">
        <v>2</v>
      </c>
      <c r="D3" s="27">
        <v>3</v>
      </c>
      <c r="E3" s="27">
        <v>4</v>
      </c>
      <c r="F3" s="95"/>
      <c r="G3" s="121"/>
      <c r="H3" s="95"/>
      <c r="I3" s="95"/>
      <c r="J3" s="95"/>
      <c r="K3" s="97"/>
    </row>
    <row r="4" spans="1:18" s="1" customFormat="1" ht="20.149999999999999" customHeight="1" thickBot="1" x14ac:dyDescent="0.6">
      <c r="A4" s="127" t="s">
        <v>8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8" x14ac:dyDescent="0.35">
      <c r="A5" s="28"/>
      <c r="B5" s="60"/>
      <c r="C5" s="52"/>
      <c r="D5" s="52"/>
      <c r="E5" s="53"/>
      <c r="F5" s="79" t="s">
        <v>143</v>
      </c>
      <c r="G5" s="35">
        <v>47.35</v>
      </c>
      <c r="H5" s="36">
        <v>35.99</v>
      </c>
      <c r="I5" s="28">
        <f>38.5+47.35</f>
        <v>85.85</v>
      </c>
      <c r="J5" s="37">
        <f>(I5/G5)*H5</f>
        <v>65.253252375923964</v>
      </c>
      <c r="K5" s="38">
        <f>((SUM(A5:E5)/G5)-(I5/G5))*39</f>
        <v>-70.710665258711714</v>
      </c>
    </row>
    <row r="6" spans="1:18" x14ac:dyDescent="0.35">
      <c r="A6" s="17"/>
      <c r="B6" s="61"/>
      <c r="C6" s="15"/>
      <c r="D6" s="15"/>
      <c r="E6" s="54"/>
      <c r="F6" s="51" t="s">
        <v>152</v>
      </c>
      <c r="G6" s="35">
        <v>63.4</v>
      </c>
      <c r="H6" s="36">
        <v>46.99</v>
      </c>
      <c r="I6" s="17">
        <f>53.95</f>
        <v>53.95</v>
      </c>
      <c r="J6" s="37">
        <f t="shared" ref="J6:J56" si="0">(I6/G6)*H6</f>
        <v>39.985970031545747</v>
      </c>
      <c r="K6" s="38">
        <f>((SUM(A6:E6)/G6)-(I6/G6))*26</f>
        <v>-22.12460567823344</v>
      </c>
    </row>
    <row r="7" spans="1:18" x14ac:dyDescent="0.35">
      <c r="A7" s="17"/>
      <c r="B7" s="61"/>
      <c r="C7" s="15"/>
      <c r="D7" s="15"/>
      <c r="E7" s="54"/>
      <c r="F7" s="50" t="s">
        <v>144</v>
      </c>
      <c r="G7" s="35">
        <v>43.65</v>
      </c>
      <c r="H7" s="36">
        <v>33.99</v>
      </c>
      <c r="I7" s="17">
        <f>32.2</f>
        <v>32.200000000000003</v>
      </c>
      <c r="J7" s="37">
        <f t="shared" si="0"/>
        <v>25.073951890034369</v>
      </c>
      <c r="K7" s="38">
        <f t="shared" ref="K7:K13" si="1">((SUM(A7:E7)/G7)-(I7/G7))*39</f>
        <v>-28.769759450171822</v>
      </c>
    </row>
    <row r="8" spans="1:18" x14ac:dyDescent="0.35">
      <c r="A8" s="17"/>
      <c r="B8" s="61"/>
      <c r="C8" s="15"/>
      <c r="D8" s="15"/>
      <c r="E8" s="54"/>
      <c r="F8" s="51"/>
      <c r="G8" s="35"/>
      <c r="H8" s="36"/>
      <c r="I8" s="17"/>
      <c r="J8" s="37" t="e">
        <f t="shared" si="0"/>
        <v>#DIV/0!</v>
      </c>
      <c r="K8" s="38" t="e">
        <f t="shared" si="1"/>
        <v>#DIV/0!</v>
      </c>
    </row>
    <row r="9" spans="1:18" x14ac:dyDescent="0.35">
      <c r="A9" s="135" t="s">
        <v>73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8" x14ac:dyDescent="0.35">
      <c r="A10" s="17"/>
      <c r="B10" s="61"/>
      <c r="C10" s="15"/>
      <c r="D10" s="15"/>
      <c r="E10" s="54"/>
      <c r="F10" s="51" t="s">
        <v>145</v>
      </c>
      <c r="G10" s="35">
        <v>39.200000000000003</v>
      </c>
      <c r="H10" s="36">
        <v>44.99</v>
      </c>
      <c r="I10" s="17">
        <f>19.1</f>
        <v>19.100000000000001</v>
      </c>
      <c r="J10" s="37">
        <f t="shared" si="0"/>
        <v>21.921147959183674</v>
      </c>
      <c r="K10" s="38">
        <f t="shared" si="1"/>
        <v>-19.002551020408163</v>
      </c>
    </row>
    <row r="11" spans="1:18" x14ac:dyDescent="0.35">
      <c r="A11" s="17"/>
      <c r="B11" s="61"/>
      <c r="C11" s="15"/>
      <c r="D11" s="15"/>
      <c r="E11" s="54"/>
      <c r="F11" s="51" t="s">
        <v>146</v>
      </c>
      <c r="G11" s="35">
        <v>38.200000000000003</v>
      </c>
      <c r="H11" s="36">
        <v>26.99</v>
      </c>
      <c r="I11" s="17">
        <f>33.25</f>
        <v>33.25</v>
      </c>
      <c r="J11" s="37">
        <f t="shared" si="0"/>
        <v>23.492604712041881</v>
      </c>
      <c r="K11" s="38">
        <f t="shared" si="1"/>
        <v>-33.946335078534027</v>
      </c>
    </row>
    <row r="12" spans="1:18" x14ac:dyDescent="0.35">
      <c r="A12" s="17"/>
      <c r="B12" s="61"/>
      <c r="C12" s="15"/>
      <c r="D12" s="15"/>
      <c r="E12" s="54"/>
      <c r="F12" s="51" t="s">
        <v>147</v>
      </c>
      <c r="G12" s="35">
        <v>44.15</v>
      </c>
      <c r="H12" s="36">
        <v>56.99</v>
      </c>
      <c r="I12" s="17">
        <f>22</f>
        <v>22</v>
      </c>
      <c r="J12" s="37">
        <f t="shared" si="0"/>
        <v>28.398187995469993</v>
      </c>
      <c r="K12" s="38">
        <f t="shared" si="1"/>
        <v>-19.433748584371461</v>
      </c>
    </row>
    <row r="13" spans="1:18" x14ac:dyDescent="0.35">
      <c r="A13" s="17"/>
      <c r="B13" s="61"/>
      <c r="C13" s="15"/>
      <c r="D13" s="15"/>
      <c r="E13" s="54"/>
      <c r="F13" s="51" t="s">
        <v>148</v>
      </c>
      <c r="G13" s="35">
        <v>47.95</v>
      </c>
      <c r="H13" s="36">
        <v>99.99</v>
      </c>
      <c r="I13" s="17">
        <f>29.3</f>
        <v>29.3</v>
      </c>
      <c r="J13" s="37">
        <f t="shared" si="0"/>
        <v>61.099207507820644</v>
      </c>
      <c r="K13" s="38">
        <f t="shared" si="1"/>
        <v>-23.8310740354536</v>
      </c>
    </row>
    <row r="14" spans="1:18" x14ac:dyDescent="0.35">
      <c r="A14" s="135" t="s">
        <v>74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7"/>
    </row>
    <row r="15" spans="1:18" x14ac:dyDescent="0.35">
      <c r="A15" s="17"/>
      <c r="B15" s="61"/>
      <c r="C15" s="15"/>
      <c r="D15" s="15"/>
      <c r="E15" s="54"/>
      <c r="F15" s="51" t="s">
        <v>153</v>
      </c>
      <c r="G15" s="35">
        <v>64.599999999999994</v>
      </c>
      <c r="H15" s="36">
        <v>41.99</v>
      </c>
      <c r="I15" s="17">
        <f>32</f>
        <v>32</v>
      </c>
      <c r="J15" s="37">
        <f t="shared" si="0"/>
        <v>20.800000000000004</v>
      </c>
      <c r="K15" s="38">
        <f>((SUM(A15:E15)/G15)-(I15/G15))*39</f>
        <v>-19.318885448916411</v>
      </c>
    </row>
    <row r="16" spans="1:18" x14ac:dyDescent="0.35">
      <c r="A16" s="17"/>
      <c r="B16" s="61"/>
      <c r="C16" s="15"/>
      <c r="D16" s="15"/>
      <c r="E16" s="54"/>
      <c r="F16" s="51" t="s">
        <v>75</v>
      </c>
      <c r="G16" s="35">
        <v>47.25</v>
      </c>
      <c r="H16" s="36">
        <v>30.99</v>
      </c>
      <c r="I16" s="17">
        <f>43.65</f>
        <v>43.65</v>
      </c>
      <c r="J16" s="37">
        <f t="shared" si="0"/>
        <v>28.628857142857139</v>
      </c>
      <c r="K16" s="38">
        <f>((SUM(A16:E16)/G16)-(I16/G16))*39</f>
        <v>-36.028571428571425</v>
      </c>
    </row>
    <row r="17" spans="1:11" x14ac:dyDescent="0.35">
      <c r="A17" s="17"/>
      <c r="B17" s="61"/>
      <c r="C17" s="15"/>
      <c r="D17" s="15"/>
      <c r="E17" s="54"/>
      <c r="F17" s="51" t="s">
        <v>213</v>
      </c>
      <c r="G17" s="35">
        <v>42.75</v>
      </c>
      <c r="H17" s="36">
        <v>27.99</v>
      </c>
      <c r="I17" s="17">
        <f>24.84</f>
        <v>24.84</v>
      </c>
      <c r="J17" s="37">
        <f t="shared" si="0"/>
        <v>16.263663157894737</v>
      </c>
      <c r="K17" s="38">
        <f>((SUM(A17:E17)/G17)-(I17/G17))*26</f>
        <v>-15.107368421052632</v>
      </c>
    </row>
    <row r="18" spans="1:11" x14ac:dyDescent="0.35">
      <c r="A18" s="17"/>
      <c r="B18" s="61"/>
      <c r="C18" s="15"/>
      <c r="D18" s="15"/>
      <c r="E18" s="54"/>
      <c r="F18" s="51" t="s">
        <v>214</v>
      </c>
      <c r="G18" s="35">
        <v>45</v>
      </c>
      <c r="H18" s="36">
        <v>26.99</v>
      </c>
      <c r="I18" s="17">
        <f>43.6</f>
        <v>43.6</v>
      </c>
      <c r="J18" s="37">
        <f t="shared" si="0"/>
        <v>26.150311111111112</v>
      </c>
      <c r="K18" s="38">
        <f>((SUM(A18:E18)/G18)-(I18/G18))*26</f>
        <v>-25.191111111111113</v>
      </c>
    </row>
    <row r="19" spans="1:11" x14ac:dyDescent="0.35">
      <c r="A19" s="17"/>
      <c r="B19" s="61"/>
      <c r="C19" s="15"/>
      <c r="D19" s="15"/>
      <c r="E19" s="54"/>
      <c r="F19" s="51" t="s">
        <v>77</v>
      </c>
      <c r="G19" s="35">
        <v>51.1</v>
      </c>
      <c r="H19" s="36">
        <v>36.99</v>
      </c>
      <c r="I19" s="17">
        <f>30.25</f>
        <v>30.25</v>
      </c>
      <c r="J19" s="37">
        <f t="shared" si="0"/>
        <v>21.897211350293542</v>
      </c>
      <c r="K19" s="38">
        <f t="shared" ref="K19:K26" si="2">((SUM(A19:E19)/G19)-(I19/G19))*39</f>
        <v>-23.087084148727982</v>
      </c>
    </row>
    <row r="20" spans="1:11" x14ac:dyDescent="0.35">
      <c r="A20" s="17"/>
      <c r="B20" s="61"/>
      <c r="C20" s="15"/>
      <c r="D20" s="15"/>
      <c r="E20" s="54"/>
      <c r="F20" s="51" t="s">
        <v>155</v>
      </c>
      <c r="G20" s="35">
        <v>59.25</v>
      </c>
      <c r="H20" s="36">
        <v>22.99</v>
      </c>
      <c r="I20" s="17">
        <f>30.25</f>
        <v>30.25</v>
      </c>
      <c r="J20" s="37">
        <f t="shared" si="0"/>
        <v>11.737510548523206</v>
      </c>
      <c r="K20" s="38">
        <f t="shared" si="2"/>
        <v>-19.911392405063289</v>
      </c>
    </row>
    <row r="21" spans="1:11" x14ac:dyDescent="0.35">
      <c r="A21" s="17"/>
      <c r="B21" s="61"/>
      <c r="C21" s="15"/>
      <c r="D21" s="15"/>
      <c r="E21" s="54"/>
      <c r="F21" s="51" t="s">
        <v>215</v>
      </c>
      <c r="G21" s="35">
        <v>53.05</v>
      </c>
      <c r="H21" s="36">
        <v>36.99</v>
      </c>
      <c r="I21" s="17">
        <f>41.45</f>
        <v>41.45</v>
      </c>
      <c r="J21" s="37">
        <f t="shared" si="0"/>
        <v>28.901705937794539</v>
      </c>
      <c r="K21" s="38">
        <f t="shared" si="2"/>
        <v>-30.472196041470315</v>
      </c>
    </row>
    <row r="22" spans="1:11" x14ac:dyDescent="0.35">
      <c r="A22" s="138" t="s">
        <v>78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</row>
    <row r="23" spans="1:11" x14ac:dyDescent="0.35">
      <c r="A23" s="17"/>
      <c r="B23" s="61"/>
      <c r="C23" s="15"/>
      <c r="D23" s="15"/>
      <c r="E23" s="54"/>
      <c r="F23" s="51" t="s">
        <v>79</v>
      </c>
      <c r="G23" s="35">
        <v>45.95</v>
      </c>
      <c r="H23" s="36">
        <v>39.99</v>
      </c>
      <c r="I23" s="17">
        <f>34.65</f>
        <v>34.65</v>
      </c>
      <c r="J23" s="37">
        <f t="shared" si="0"/>
        <v>30.155680087051142</v>
      </c>
      <c r="K23" s="38">
        <f t="shared" si="2"/>
        <v>-29.409140369967353</v>
      </c>
    </row>
    <row r="24" spans="1:11" x14ac:dyDescent="0.35">
      <c r="A24" s="17"/>
      <c r="B24" s="61"/>
      <c r="C24" s="15"/>
      <c r="D24" s="15"/>
      <c r="E24" s="54"/>
      <c r="F24" s="51" t="s">
        <v>80</v>
      </c>
      <c r="G24" s="35">
        <v>46.1</v>
      </c>
      <c r="H24" s="36">
        <v>49.99</v>
      </c>
      <c r="I24" s="17">
        <f>42.15</f>
        <v>42.15</v>
      </c>
      <c r="J24" s="37">
        <f t="shared" si="0"/>
        <v>45.706691973969633</v>
      </c>
      <c r="K24" s="38">
        <f t="shared" si="2"/>
        <v>-35.658351409978309</v>
      </c>
    </row>
    <row r="25" spans="1:11" x14ac:dyDescent="0.35">
      <c r="A25" s="138" t="s">
        <v>81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1" x14ac:dyDescent="0.35">
      <c r="A26" s="17"/>
      <c r="B26" s="61"/>
      <c r="C26" s="15"/>
      <c r="D26" s="15"/>
      <c r="E26" s="54"/>
      <c r="F26" s="51" t="s">
        <v>223</v>
      </c>
      <c r="G26" s="35">
        <v>43.6</v>
      </c>
      <c r="H26" s="36">
        <v>23.99</v>
      </c>
      <c r="I26" s="17">
        <f>48.15</f>
        <v>48.15</v>
      </c>
      <c r="J26" s="37">
        <f t="shared" si="0"/>
        <v>26.493543577981647</v>
      </c>
      <c r="K26" s="38">
        <f t="shared" si="2"/>
        <v>-43.069954128440365</v>
      </c>
    </row>
    <row r="27" spans="1:11" x14ac:dyDescent="0.35">
      <c r="A27" s="17"/>
      <c r="B27" s="61"/>
      <c r="C27" s="15"/>
      <c r="D27" s="15"/>
      <c r="E27" s="54"/>
      <c r="F27" s="51" t="s">
        <v>224</v>
      </c>
      <c r="G27" s="35">
        <v>66.55</v>
      </c>
      <c r="H27" s="36">
        <v>29.99</v>
      </c>
      <c r="I27" s="17">
        <f>38.05</f>
        <v>38.049999999999997</v>
      </c>
      <c r="J27" s="37">
        <f t="shared" si="0"/>
        <v>17.146799398948158</v>
      </c>
      <c r="K27" s="38">
        <f>((SUM(A27:E27)/G27)-(I27/G27))*26</f>
        <v>-14.865514650638616</v>
      </c>
    </row>
    <row r="28" spans="1:11" x14ac:dyDescent="0.35">
      <c r="A28" s="17"/>
      <c r="B28" s="61"/>
      <c r="C28" s="15"/>
      <c r="D28" s="15"/>
      <c r="E28" s="54"/>
      <c r="F28" s="51" t="s">
        <v>83</v>
      </c>
      <c r="G28" s="35"/>
      <c r="H28" s="36">
        <v>26.99</v>
      </c>
      <c r="I28" s="17">
        <f>28.6</f>
        <v>28.6</v>
      </c>
      <c r="J28" s="37" t="e">
        <f t="shared" si="0"/>
        <v>#DIV/0!</v>
      </c>
      <c r="K28" s="38" t="e">
        <f>((SUM(A28:E28)/G28)-(I28/G28))*26</f>
        <v>#DIV/0!</v>
      </c>
    </row>
    <row r="29" spans="1:11" x14ac:dyDescent="0.35">
      <c r="A29" s="17"/>
      <c r="B29" s="61"/>
      <c r="C29" s="15"/>
      <c r="D29" s="15"/>
      <c r="E29" s="54"/>
      <c r="F29" s="51" t="s">
        <v>84</v>
      </c>
      <c r="G29" s="35">
        <v>45.1</v>
      </c>
      <c r="H29" s="36">
        <v>49.99</v>
      </c>
      <c r="I29" s="17">
        <f>36.85</f>
        <v>36.85</v>
      </c>
      <c r="J29" s="37">
        <f t="shared" si="0"/>
        <v>40.845487804878054</v>
      </c>
      <c r="K29" s="38">
        <f>((SUM(A29:E29)/G29)-(I29/G29))*26</f>
        <v>-21.243902439024392</v>
      </c>
    </row>
    <row r="30" spans="1:11" x14ac:dyDescent="0.35">
      <c r="A30" s="17"/>
      <c r="B30" s="61"/>
      <c r="C30" s="15"/>
      <c r="D30" s="15"/>
      <c r="E30" s="54"/>
      <c r="F30" s="51" t="s">
        <v>85</v>
      </c>
      <c r="G30" s="35">
        <v>45.45</v>
      </c>
      <c r="H30" s="36">
        <v>28.99</v>
      </c>
      <c r="I30" s="17">
        <f>24</f>
        <v>24</v>
      </c>
      <c r="J30" s="37">
        <f t="shared" si="0"/>
        <v>15.308250825082506</v>
      </c>
      <c r="K30" s="38">
        <f>((SUM(A30:E30)/G30)-(I30/G30))*39</f>
        <v>-20.594059405940591</v>
      </c>
    </row>
    <row r="31" spans="1:11" x14ac:dyDescent="0.35">
      <c r="A31" s="138" t="s">
        <v>86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40"/>
    </row>
    <row r="32" spans="1:11" x14ac:dyDescent="0.35">
      <c r="A32" s="17"/>
      <c r="B32" s="55"/>
      <c r="C32" s="16"/>
      <c r="D32" s="16"/>
      <c r="E32" s="56"/>
      <c r="F32" s="51" t="s">
        <v>87</v>
      </c>
      <c r="G32" s="35">
        <v>44.1</v>
      </c>
      <c r="H32" s="36">
        <v>25.99</v>
      </c>
      <c r="I32" s="17"/>
      <c r="J32" s="37">
        <f t="shared" si="0"/>
        <v>0</v>
      </c>
      <c r="K32" s="38">
        <f>((SUM(A32:E32)/G32)-(I32/G32))*26</f>
        <v>0</v>
      </c>
    </row>
    <row r="33" spans="1:11" x14ac:dyDescent="0.35">
      <c r="A33" s="17"/>
      <c r="B33" s="55"/>
      <c r="C33" s="16"/>
      <c r="D33" s="16"/>
      <c r="E33" s="56"/>
      <c r="F33" s="51" t="s">
        <v>216</v>
      </c>
      <c r="G33" s="35">
        <v>41.65</v>
      </c>
      <c r="H33" s="36">
        <v>24.99</v>
      </c>
      <c r="I33" s="17"/>
      <c r="J33" s="37">
        <f t="shared" si="0"/>
        <v>0</v>
      </c>
      <c r="K33" s="38">
        <f>((SUM(A33:E33)/G33)-(I33/G33))*26</f>
        <v>0</v>
      </c>
    </row>
    <row r="34" spans="1:11" x14ac:dyDescent="0.35">
      <c r="A34" s="17"/>
      <c r="B34" s="55"/>
      <c r="C34" s="16"/>
      <c r="D34" s="16"/>
      <c r="E34" s="56"/>
      <c r="F34" s="51" t="s">
        <v>217</v>
      </c>
      <c r="G34" s="35">
        <v>53.4</v>
      </c>
      <c r="H34" s="36">
        <v>36.99</v>
      </c>
      <c r="I34" s="17">
        <f>28.9</f>
        <v>28.9</v>
      </c>
      <c r="J34" s="37">
        <f>(I34/G34)*H34</f>
        <v>20.018932584269663</v>
      </c>
      <c r="K34" s="38">
        <f>((SUM(A34:E34)/G34)-(I34/G34))*26</f>
        <v>-14.071161048689138</v>
      </c>
    </row>
    <row r="35" spans="1:11" x14ac:dyDescent="0.35">
      <c r="A35" s="17"/>
      <c r="B35" s="55"/>
      <c r="C35" s="16"/>
      <c r="D35" s="16"/>
      <c r="E35" s="56"/>
      <c r="F35" s="51" t="s">
        <v>218</v>
      </c>
      <c r="G35" s="35">
        <v>60.25</v>
      </c>
      <c r="H35" s="36">
        <v>57.99</v>
      </c>
      <c r="I35" s="17">
        <f>21.9</f>
        <v>21.9</v>
      </c>
      <c r="J35" s="37">
        <f t="shared" si="0"/>
        <v>21.078522821576762</v>
      </c>
      <c r="K35" s="38">
        <f>((SUM(A35:E35)/G35)-(I35/G35))*26</f>
        <v>-9.4506224066390043</v>
      </c>
    </row>
    <row r="36" spans="1:11" x14ac:dyDescent="0.35">
      <c r="A36" s="17"/>
      <c r="B36" s="55"/>
      <c r="C36" s="16"/>
      <c r="D36" s="16"/>
      <c r="E36" s="56"/>
      <c r="F36" s="51" t="s">
        <v>219</v>
      </c>
      <c r="G36" s="35">
        <v>59.75</v>
      </c>
      <c r="H36" s="36">
        <v>36.99</v>
      </c>
      <c r="I36" s="17">
        <f>44.6</f>
        <v>44.6</v>
      </c>
      <c r="J36" s="37">
        <f t="shared" si="0"/>
        <v>27.61094560669456</v>
      </c>
      <c r="K36" s="38">
        <f>((SUM(A36:E36)/G36)-(I36/G36))*13</f>
        <v>-9.703765690376569</v>
      </c>
    </row>
    <row r="37" spans="1:11" x14ac:dyDescent="0.35">
      <c r="A37" s="17"/>
      <c r="B37" s="76"/>
      <c r="C37" s="77"/>
      <c r="D37" s="77"/>
      <c r="E37" s="78"/>
      <c r="F37" s="51" t="s">
        <v>220</v>
      </c>
      <c r="G37" s="35">
        <v>41.05</v>
      </c>
      <c r="H37" s="36">
        <v>22.99</v>
      </c>
      <c r="I37" s="17">
        <f>37.45</f>
        <v>37.450000000000003</v>
      </c>
      <c r="J37" s="37">
        <f t="shared" si="0"/>
        <v>20.973824604141292</v>
      </c>
      <c r="K37" s="38">
        <f>((SUM(A37:E37)/G37)-(I37/G37))*39</f>
        <v>-35.579780755176621</v>
      </c>
    </row>
    <row r="38" spans="1:11" x14ac:dyDescent="0.35">
      <c r="A38" s="141" t="s">
        <v>90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3"/>
    </row>
    <row r="39" spans="1:11" x14ac:dyDescent="0.35">
      <c r="A39" s="17"/>
      <c r="B39" s="55"/>
      <c r="C39" s="16"/>
      <c r="D39" s="16"/>
      <c r="E39" s="56"/>
      <c r="F39" s="50" t="s">
        <v>92</v>
      </c>
      <c r="G39" s="35">
        <v>61.95</v>
      </c>
      <c r="H39" s="36">
        <v>34.99</v>
      </c>
      <c r="I39" s="17">
        <f>32.8</f>
        <v>32.799999999999997</v>
      </c>
      <c r="J39" s="37">
        <f t="shared" si="0"/>
        <v>18.525778853914446</v>
      </c>
      <c r="K39" s="38">
        <f t="shared" ref="K39:K56" si="3">((SUM(A39:E39)/G39)-(I39/G39))*39</f>
        <v>-20.648910411622275</v>
      </c>
    </row>
    <row r="40" spans="1:11" x14ac:dyDescent="0.35">
      <c r="A40" s="17"/>
      <c r="B40" s="55"/>
      <c r="C40" s="16"/>
      <c r="D40" s="16"/>
      <c r="E40" s="56"/>
      <c r="F40" s="50" t="s">
        <v>163</v>
      </c>
      <c r="G40" s="35"/>
      <c r="H40" s="36"/>
      <c r="I40" s="17"/>
      <c r="J40" s="37" t="e">
        <f t="shared" si="0"/>
        <v>#DIV/0!</v>
      </c>
      <c r="K40" s="38" t="e">
        <f t="shared" ref="K40:K41" si="4">((SUM(A40:E40)/G40)-(I40/G40))*39</f>
        <v>#DIV/0!</v>
      </c>
    </row>
    <row r="41" spans="1:11" x14ac:dyDescent="0.35">
      <c r="A41" s="17"/>
      <c r="B41" s="55"/>
      <c r="C41" s="16"/>
      <c r="D41" s="16"/>
      <c r="E41" s="56"/>
      <c r="F41" s="50" t="s">
        <v>160</v>
      </c>
      <c r="G41" s="35">
        <v>43.45</v>
      </c>
      <c r="H41" s="36">
        <v>34.99</v>
      </c>
      <c r="I41" s="17"/>
      <c r="J41" s="37">
        <f t="shared" si="0"/>
        <v>0</v>
      </c>
      <c r="K41" s="38">
        <f t="shared" si="4"/>
        <v>0</v>
      </c>
    </row>
    <row r="42" spans="1:11" x14ac:dyDescent="0.35">
      <c r="A42" s="17"/>
      <c r="B42" s="55"/>
      <c r="C42" s="16"/>
      <c r="D42" s="16"/>
      <c r="E42" s="56"/>
      <c r="F42" s="50" t="s">
        <v>91</v>
      </c>
      <c r="G42" s="35">
        <v>50.85</v>
      </c>
      <c r="H42" s="36">
        <v>59.99</v>
      </c>
      <c r="I42" s="17">
        <f>46.9</f>
        <v>46.9</v>
      </c>
      <c r="J42" s="37">
        <f t="shared" si="0"/>
        <v>55.330009832841689</v>
      </c>
      <c r="K42" s="38">
        <f t="shared" si="3"/>
        <v>-35.970501474926252</v>
      </c>
    </row>
    <row r="43" spans="1:11" x14ac:dyDescent="0.35">
      <c r="A43" s="17"/>
      <c r="B43" s="55">
        <v>1</v>
      </c>
      <c r="C43" s="16"/>
      <c r="D43" s="16"/>
      <c r="E43" s="56"/>
      <c r="F43" s="50" t="s">
        <v>151</v>
      </c>
      <c r="G43" s="35">
        <v>47.3</v>
      </c>
      <c r="H43" s="36">
        <v>29.99</v>
      </c>
      <c r="I43" s="17">
        <f>34.2</f>
        <v>34.200000000000003</v>
      </c>
      <c r="J43" s="37">
        <f t="shared" si="0"/>
        <v>21.684101479915434</v>
      </c>
      <c r="K43" s="38">
        <f t="shared" si="3"/>
        <v>-27.374207188160678</v>
      </c>
    </row>
    <row r="44" spans="1:11" x14ac:dyDescent="0.35">
      <c r="A44" s="138" t="s">
        <v>93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40"/>
    </row>
    <row r="45" spans="1:11" x14ac:dyDescent="0.35">
      <c r="A45" s="17"/>
      <c r="B45" s="55"/>
      <c r="C45" s="16"/>
      <c r="D45" s="16"/>
      <c r="E45" s="56"/>
      <c r="F45" s="50" t="s">
        <v>94</v>
      </c>
      <c r="G45" s="35">
        <v>43.8</v>
      </c>
      <c r="H45" s="36">
        <v>26.99</v>
      </c>
      <c r="I45" s="17">
        <f>21.85</f>
        <v>21.85</v>
      </c>
      <c r="J45" s="37">
        <f t="shared" si="0"/>
        <v>13.464189497716896</v>
      </c>
      <c r="K45" s="38">
        <f t="shared" si="3"/>
        <v>-19.455479452054796</v>
      </c>
    </row>
    <row r="46" spans="1:11" x14ac:dyDescent="0.35">
      <c r="A46" s="17"/>
      <c r="B46" s="55"/>
      <c r="C46" s="16"/>
      <c r="D46" s="16"/>
      <c r="E46" s="56"/>
      <c r="F46" s="50" t="s">
        <v>95</v>
      </c>
      <c r="G46" s="35">
        <v>43.8</v>
      </c>
      <c r="H46" s="36">
        <v>28.99</v>
      </c>
      <c r="I46" s="17">
        <f>43.9</f>
        <v>43.9</v>
      </c>
      <c r="J46" s="37">
        <f t="shared" si="0"/>
        <v>29.056187214611874</v>
      </c>
      <c r="K46" s="38">
        <f t="shared" si="3"/>
        <v>-39.089041095890416</v>
      </c>
    </row>
    <row r="47" spans="1:11" x14ac:dyDescent="0.35">
      <c r="A47" s="17"/>
      <c r="B47" s="55"/>
      <c r="C47" s="16"/>
      <c r="D47" s="16"/>
      <c r="E47" s="56"/>
      <c r="F47" s="50" t="s">
        <v>69</v>
      </c>
      <c r="G47" s="35">
        <v>50.4</v>
      </c>
      <c r="H47" s="36">
        <v>44.99</v>
      </c>
      <c r="I47" s="17">
        <v>0</v>
      </c>
      <c r="J47" s="37">
        <f t="shared" si="0"/>
        <v>0</v>
      </c>
      <c r="K47" s="38">
        <f t="shared" si="3"/>
        <v>0</v>
      </c>
    </row>
    <row r="48" spans="1:11" x14ac:dyDescent="0.35">
      <c r="A48" s="17"/>
      <c r="B48" s="55"/>
      <c r="C48" s="16"/>
      <c r="D48" s="16"/>
      <c r="E48" s="56"/>
      <c r="F48" s="50" t="s">
        <v>96</v>
      </c>
      <c r="G48" s="35">
        <v>61.3</v>
      </c>
      <c r="H48" s="36">
        <v>33.99</v>
      </c>
      <c r="I48" s="17">
        <f>50</f>
        <v>50</v>
      </c>
      <c r="J48" s="37">
        <f t="shared" si="0"/>
        <v>27.72430668841762</v>
      </c>
      <c r="K48" s="38">
        <f t="shared" si="3"/>
        <v>-31.810766721044047</v>
      </c>
    </row>
    <row r="49" spans="1:11" x14ac:dyDescent="0.35">
      <c r="A49" s="17"/>
      <c r="B49" s="55"/>
      <c r="C49" s="16"/>
      <c r="D49" s="16"/>
      <c r="E49" s="56"/>
      <c r="F49" s="50" t="s">
        <v>97</v>
      </c>
      <c r="G49" s="35">
        <v>50.25</v>
      </c>
      <c r="H49" s="36">
        <v>27.99</v>
      </c>
      <c r="I49" s="17">
        <f>36.75</f>
        <v>36.75</v>
      </c>
      <c r="J49" s="37">
        <f t="shared" si="0"/>
        <v>20.470298507462687</v>
      </c>
      <c r="K49" s="38">
        <f t="shared" si="3"/>
        <v>-28.522388059701491</v>
      </c>
    </row>
    <row r="50" spans="1:11" x14ac:dyDescent="0.35">
      <c r="A50" s="17"/>
      <c r="B50" s="55"/>
      <c r="C50" s="16"/>
      <c r="D50" s="16"/>
      <c r="E50" s="56"/>
      <c r="F50" s="50" t="s">
        <v>98</v>
      </c>
      <c r="G50" s="35">
        <v>42.45</v>
      </c>
      <c r="H50" s="36">
        <v>27.99</v>
      </c>
      <c r="I50" s="17">
        <f>18.9</f>
        <v>18.899999999999999</v>
      </c>
      <c r="J50" s="37">
        <f t="shared" si="0"/>
        <v>12.46197879858657</v>
      </c>
      <c r="K50" s="38">
        <f t="shared" si="3"/>
        <v>-17.363957597173144</v>
      </c>
    </row>
    <row r="51" spans="1:11" x14ac:dyDescent="0.35">
      <c r="A51" s="17"/>
      <c r="B51" s="55"/>
      <c r="C51" s="16"/>
      <c r="D51" s="16"/>
      <c r="E51" s="56"/>
      <c r="F51" s="50" t="s">
        <v>225</v>
      </c>
      <c r="G51" s="35">
        <v>42.45</v>
      </c>
      <c r="H51" s="36">
        <v>27.99</v>
      </c>
      <c r="I51" s="17">
        <v>22.45</v>
      </c>
      <c r="J51" s="37">
        <f t="shared" si="0"/>
        <v>14.802720848056536</v>
      </c>
      <c r="K51" s="38">
        <f t="shared" si="3"/>
        <v>-20.625441696113075</v>
      </c>
    </row>
    <row r="52" spans="1:11" x14ac:dyDescent="0.35">
      <c r="A52" s="17"/>
      <c r="B52" s="55"/>
      <c r="C52" s="16"/>
      <c r="D52" s="16"/>
      <c r="E52" s="56"/>
      <c r="F52" s="50" t="s">
        <v>158</v>
      </c>
      <c r="G52" s="35">
        <v>42.45</v>
      </c>
      <c r="H52" s="36">
        <v>27.99</v>
      </c>
      <c r="I52" s="17">
        <f>41.4</f>
        <v>41.4</v>
      </c>
      <c r="J52" s="37">
        <f t="shared" si="0"/>
        <v>27.297667844522966</v>
      </c>
      <c r="K52" s="38">
        <f t="shared" si="3"/>
        <v>-38.035335689045937</v>
      </c>
    </row>
    <row r="53" spans="1:11" x14ac:dyDescent="0.35">
      <c r="A53" s="17"/>
      <c r="B53" s="55"/>
      <c r="C53" s="16"/>
      <c r="D53" s="16"/>
      <c r="E53" s="56"/>
      <c r="F53" s="50" t="s">
        <v>159</v>
      </c>
      <c r="G53" s="35"/>
      <c r="H53" s="36">
        <v>31.99</v>
      </c>
      <c r="I53" s="17"/>
      <c r="J53" s="37" t="e">
        <f t="shared" si="0"/>
        <v>#DIV/0!</v>
      </c>
      <c r="K53" s="38" t="e">
        <f t="shared" si="3"/>
        <v>#DIV/0!</v>
      </c>
    </row>
    <row r="54" spans="1:11" x14ac:dyDescent="0.35">
      <c r="A54" s="17"/>
      <c r="B54" s="55"/>
      <c r="C54" s="16"/>
      <c r="D54" s="16"/>
      <c r="E54" s="56"/>
      <c r="F54" s="50" t="s">
        <v>176</v>
      </c>
      <c r="G54" s="35"/>
      <c r="H54" s="36"/>
      <c r="I54" s="17"/>
      <c r="J54" s="37" t="e">
        <f t="shared" si="0"/>
        <v>#DIV/0!</v>
      </c>
      <c r="K54" s="38" t="e">
        <f t="shared" si="3"/>
        <v>#DIV/0!</v>
      </c>
    </row>
    <row r="55" spans="1:11" x14ac:dyDescent="0.35">
      <c r="A55" s="17"/>
      <c r="B55" s="55"/>
      <c r="C55" s="16"/>
      <c r="D55" s="16"/>
      <c r="E55" s="56"/>
      <c r="F55" s="50" t="s">
        <v>180</v>
      </c>
      <c r="G55" s="35">
        <v>48.45</v>
      </c>
      <c r="H55" s="36">
        <v>34.99</v>
      </c>
      <c r="I55" s="17">
        <f>32.6</f>
        <v>32.6</v>
      </c>
      <c r="J55" s="37">
        <f t="shared" si="0"/>
        <v>23.543323013415897</v>
      </c>
      <c r="K55" s="38">
        <f t="shared" si="3"/>
        <v>-26.241486068111456</v>
      </c>
    </row>
    <row r="56" spans="1:11" ht="15" thickBot="1" x14ac:dyDescent="0.4">
      <c r="A56" s="17"/>
      <c r="B56" s="57"/>
      <c r="C56" s="58"/>
      <c r="D56" s="58"/>
      <c r="E56" s="59"/>
      <c r="F56" s="50"/>
      <c r="G56" s="35"/>
      <c r="H56" s="36"/>
      <c r="I56" s="17"/>
      <c r="J56" s="37" t="e">
        <f t="shared" si="0"/>
        <v>#DIV/0!</v>
      </c>
      <c r="K56" s="38" t="e">
        <f t="shared" si="3"/>
        <v>#DIV/0!</v>
      </c>
    </row>
    <row r="57" spans="1:11" ht="20.149999999999999" customHeight="1" thickBot="1" x14ac:dyDescent="0.6">
      <c r="A57" s="130" t="s">
        <v>9</v>
      </c>
      <c r="B57" s="131"/>
      <c r="C57" s="131"/>
      <c r="D57" s="131"/>
      <c r="E57" s="131"/>
      <c r="F57" s="132"/>
      <c r="G57" s="132"/>
      <c r="H57" s="132"/>
      <c r="I57" s="133"/>
      <c r="J57" s="126">
        <v>1713.9906492157534</v>
      </c>
      <c r="K57" s="88"/>
    </row>
    <row r="58" spans="1:11" ht="20.149999999999999" customHeight="1" thickBot="1" x14ac:dyDescent="0.6">
      <c r="A58" s="130" t="s">
        <v>10</v>
      </c>
      <c r="B58" s="132"/>
      <c r="C58" s="132"/>
      <c r="D58" s="132"/>
      <c r="E58" s="132"/>
      <c r="F58" s="132"/>
      <c r="G58" s="132"/>
      <c r="H58" s="132"/>
      <c r="I58" s="134"/>
      <c r="J58" s="122">
        <v>0</v>
      </c>
      <c r="K58" s="90"/>
    </row>
    <row r="59" spans="1:11" ht="20.149999999999999" customHeight="1" thickBot="1" x14ac:dyDescent="0.6">
      <c r="A59" s="130" t="s">
        <v>55</v>
      </c>
      <c r="B59" s="132"/>
      <c r="C59" s="132"/>
      <c r="D59" s="132"/>
      <c r="E59" s="132"/>
      <c r="F59" s="132"/>
      <c r="G59" s="132"/>
      <c r="H59" s="132"/>
      <c r="I59" s="134"/>
      <c r="J59" s="89">
        <v>0</v>
      </c>
      <c r="K59" s="90"/>
    </row>
    <row r="60" spans="1:11" ht="20.149999999999999" customHeight="1" thickBot="1" x14ac:dyDescent="0.6">
      <c r="A60" s="130" t="s">
        <v>11</v>
      </c>
      <c r="B60" s="132"/>
      <c r="C60" s="132"/>
      <c r="D60" s="132"/>
      <c r="E60" s="132"/>
      <c r="F60" s="132"/>
      <c r="G60" s="132"/>
      <c r="H60" s="132"/>
      <c r="I60" s="134"/>
      <c r="J60" s="126" t="e">
        <f>SUM(J5:J56)</f>
        <v>#DIV/0!</v>
      </c>
      <c r="K60" s="88"/>
    </row>
    <row r="61" spans="1:11" ht="20.149999999999999" customHeight="1" thickBot="1" x14ac:dyDescent="0.6">
      <c r="A61" s="109" t="s">
        <v>12</v>
      </c>
      <c r="B61" s="110"/>
      <c r="C61" s="110"/>
      <c r="D61" s="110"/>
      <c r="E61" s="110"/>
      <c r="F61" s="110"/>
      <c r="G61" s="110"/>
      <c r="H61" s="110"/>
      <c r="I61" s="111"/>
      <c r="J61" s="122"/>
      <c r="K61" s="90"/>
    </row>
    <row r="62" spans="1:11" ht="20.149999999999999" customHeight="1" thickBot="1" x14ac:dyDescent="0.6">
      <c r="A62" s="123" t="s">
        <v>13</v>
      </c>
      <c r="B62" s="124"/>
      <c r="C62" s="124"/>
      <c r="D62" s="124"/>
      <c r="E62" s="124"/>
      <c r="F62" s="124"/>
      <c r="G62" s="124"/>
      <c r="H62" s="124"/>
      <c r="I62" s="125"/>
      <c r="J62" s="126" t="e">
        <f>J57+J58+J59-J60</f>
        <v>#DIV/0!</v>
      </c>
      <c r="K62" s="88"/>
    </row>
    <row r="63" spans="1:11" ht="20.149999999999999" customHeight="1" thickBot="1" x14ac:dyDescent="0.6">
      <c r="A63" s="109" t="s">
        <v>14</v>
      </c>
      <c r="B63" s="110"/>
      <c r="C63" s="110"/>
      <c r="D63" s="110"/>
      <c r="E63" s="110"/>
      <c r="F63" s="110"/>
      <c r="G63" s="110"/>
      <c r="H63" s="110"/>
      <c r="I63" s="111"/>
      <c r="J63" s="144" t="e">
        <f>J62/J61</f>
        <v>#DIV/0!</v>
      </c>
      <c r="K63" s="113"/>
    </row>
    <row r="64" spans="1:11" ht="20.149999999999999" customHeight="1" thickBot="1" x14ac:dyDescent="0.6">
      <c r="A64" s="109" t="s">
        <v>56</v>
      </c>
      <c r="B64" s="110"/>
      <c r="C64" s="110"/>
      <c r="D64" s="110"/>
      <c r="E64" s="110"/>
      <c r="F64" s="110"/>
      <c r="G64" s="110"/>
      <c r="H64" s="110"/>
      <c r="I64" s="111"/>
      <c r="J64" s="144" t="e">
        <f>((F224+F225+F227-J60)/F226)</f>
        <v>#DIV/0!</v>
      </c>
      <c r="K64" s="113"/>
    </row>
    <row r="65" spans="1:16" x14ac:dyDescent="0.35">
      <c r="A65" s="117" t="s">
        <v>0</v>
      </c>
      <c r="B65" s="119" t="s">
        <v>1</v>
      </c>
      <c r="C65" s="119"/>
      <c r="D65" s="119"/>
      <c r="E65" s="119"/>
      <c r="F65" s="94" t="s">
        <v>2</v>
      </c>
      <c r="G65" s="94" t="s">
        <v>3</v>
      </c>
      <c r="H65" s="94" t="s">
        <v>4</v>
      </c>
      <c r="I65" s="94" t="s">
        <v>5</v>
      </c>
      <c r="J65" s="94" t="s">
        <v>6</v>
      </c>
      <c r="K65" s="96" t="s">
        <v>7</v>
      </c>
    </row>
    <row r="66" spans="1:16" ht="20.149999999999999" customHeight="1" x14ac:dyDescent="0.35">
      <c r="A66" s="118"/>
      <c r="B66" s="27">
        <v>1</v>
      </c>
      <c r="C66" s="27">
        <v>2</v>
      </c>
      <c r="D66" s="27">
        <v>3</v>
      </c>
      <c r="E66" s="27">
        <v>4</v>
      </c>
      <c r="F66" s="95"/>
      <c r="G66" s="95"/>
      <c r="H66" s="95"/>
      <c r="I66" s="95"/>
      <c r="J66" s="95"/>
      <c r="K66" s="97"/>
    </row>
    <row r="67" spans="1:16" ht="24" thickBot="1" x14ac:dyDescent="0.6">
      <c r="A67" s="98" t="s">
        <v>122</v>
      </c>
      <c r="B67" s="99"/>
      <c r="C67" s="99"/>
      <c r="D67" s="99"/>
      <c r="E67" s="99"/>
      <c r="F67" s="99"/>
      <c r="G67" s="99"/>
      <c r="H67" s="99"/>
      <c r="I67" s="99"/>
      <c r="J67" s="100"/>
      <c r="K67" s="101"/>
    </row>
    <row r="68" spans="1:16" x14ac:dyDescent="0.35">
      <c r="A68" s="28"/>
      <c r="B68" s="14"/>
      <c r="C68" s="14"/>
      <c r="D68" s="14"/>
      <c r="E68" s="14"/>
      <c r="F68" s="34" t="s">
        <v>138</v>
      </c>
      <c r="G68" s="35"/>
      <c r="H68" s="36">
        <v>22.99</v>
      </c>
      <c r="I68" s="28">
        <f>5.6</f>
        <v>5.6</v>
      </c>
      <c r="J68" s="63" t="e">
        <f>(I68/G68)*H68</f>
        <v>#DIV/0!</v>
      </c>
      <c r="K68" s="40">
        <f>(SUM(A68:E68))-I68</f>
        <v>-5.6</v>
      </c>
      <c r="O68" s="49"/>
      <c r="P68" s="49"/>
    </row>
    <row r="69" spans="1:16" x14ac:dyDescent="0.35">
      <c r="A69" s="28"/>
      <c r="B69" s="14"/>
      <c r="C69" s="14"/>
      <c r="D69" s="14"/>
      <c r="E69" s="14"/>
      <c r="F69" s="34" t="s">
        <v>221</v>
      </c>
      <c r="G69" s="35">
        <v>69.75</v>
      </c>
      <c r="H69" s="36">
        <v>39.99</v>
      </c>
      <c r="I69" s="28">
        <f>92.05</f>
        <v>92.05</v>
      </c>
      <c r="J69" s="63">
        <f t="shared" ref="J69:J97" si="5">(I69/G69)*H69</f>
        <v>52.775333333333336</v>
      </c>
      <c r="K69" s="40">
        <f>(SUM(A69:E69))-I69</f>
        <v>-92.05</v>
      </c>
      <c r="O69" s="49"/>
      <c r="P69" s="49"/>
    </row>
    <row r="70" spans="1:16" x14ac:dyDescent="0.35">
      <c r="A70" s="28"/>
      <c r="B70" s="14"/>
      <c r="C70" s="14"/>
      <c r="D70" s="14"/>
      <c r="E70" s="14"/>
      <c r="F70" s="34" t="s">
        <v>126</v>
      </c>
      <c r="G70" s="35">
        <v>49.65</v>
      </c>
      <c r="H70" s="36">
        <v>24.99</v>
      </c>
      <c r="I70" s="28">
        <f>35.75</f>
        <v>35.75</v>
      </c>
      <c r="J70" s="63">
        <f t="shared" si="5"/>
        <v>17.99380664652568</v>
      </c>
      <c r="K70" s="40">
        <f t="shared" ref="K70:K97" si="6">(SUM(A70:E70))-I70</f>
        <v>-35.75</v>
      </c>
      <c r="O70" s="49"/>
      <c r="P70" s="49"/>
    </row>
    <row r="71" spans="1:16" x14ac:dyDescent="0.35">
      <c r="A71" s="28"/>
      <c r="B71" s="14"/>
      <c r="C71" s="14"/>
      <c r="D71" s="14"/>
      <c r="E71" s="14"/>
      <c r="F71" s="34" t="s">
        <v>124</v>
      </c>
      <c r="G71" s="35">
        <v>41.9</v>
      </c>
      <c r="H71" s="36">
        <v>20.99</v>
      </c>
      <c r="I71" s="28">
        <f>34.4</f>
        <v>34.4</v>
      </c>
      <c r="J71" s="63">
        <f t="shared" si="5"/>
        <v>17.232840095465392</v>
      </c>
      <c r="K71" s="40">
        <f t="shared" si="6"/>
        <v>-34.4</v>
      </c>
      <c r="O71" s="49"/>
      <c r="P71" s="49"/>
    </row>
    <row r="72" spans="1:16" x14ac:dyDescent="0.35">
      <c r="A72" s="28"/>
      <c r="B72" s="14"/>
      <c r="C72" s="14"/>
      <c r="D72" s="14"/>
      <c r="E72" s="14"/>
      <c r="F72" s="34" t="s">
        <v>125</v>
      </c>
      <c r="G72" s="35">
        <v>41.9</v>
      </c>
      <c r="H72" s="36">
        <v>20.99</v>
      </c>
      <c r="I72" s="28">
        <f>30.55</f>
        <v>30.55</v>
      </c>
      <c r="J72" s="63">
        <f t="shared" si="5"/>
        <v>15.304164677804296</v>
      </c>
      <c r="K72" s="40">
        <f t="shared" si="6"/>
        <v>-30.55</v>
      </c>
      <c r="O72" s="49"/>
      <c r="P72" s="49"/>
    </row>
    <row r="73" spans="1:16" x14ac:dyDescent="0.35">
      <c r="A73" s="28"/>
      <c r="B73" s="14"/>
      <c r="C73" s="14"/>
      <c r="D73" s="14"/>
      <c r="E73" s="14"/>
      <c r="F73" s="34" t="s">
        <v>123</v>
      </c>
      <c r="G73" s="35">
        <v>41.9</v>
      </c>
      <c r="H73" s="36">
        <v>21.99</v>
      </c>
      <c r="I73" s="28">
        <f>16.1</f>
        <v>16.100000000000001</v>
      </c>
      <c r="J73" s="63">
        <f t="shared" si="5"/>
        <v>8.449618138424821</v>
      </c>
      <c r="K73" s="40">
        <f t="shared" si="6"/>
        <v>-16.100000000000001</v>
      </c>
      <c r="O73" s="49"/>
      <c r="P73" s="49"/>
    </row>
    <row r="74" spans="1:16" x14ac:dyDescent="0.35">
      <c r="A74" s="28"/>
      <c r="B74" s="14"/>
      <c r="C74" s="14"/>
      <c r="D74" s="14"/>
      <c r="E74" s="14"/>
      <c r="F74" s="34" t="s">
        <v>129</v>
      </c>
      <c r="G74" s="35"/>
      <c r="H74" s="36">
        <v>41.99</v>
      </c>
      <c r="I74" s="28">
        <f>39.6</f>
        <v>39.6</v>
      </c>
      <c r="J74" s="63" t="e">
        <f t="shared" si="5"/>
        <v>#DIV/0!</v>
      </c>
      <c r="K74" s="40">
        <f t="shared" si="6"/>
        <v>-39.6</v>
      </c>
      <c r="O74" s="49"/>
      <c r="P74" s="49"/>
    </row>
    <row r="75" spans="1:16" x14ac:dyDescent="0.35">
      <c r="A75" s="28"/>
      <c r="B75" s="14"/>
      <c r="C75" s="14"/>
      <c r="D75" s="14"/>
      <c r="E75" s="14"/>
      <c r="F75" s="34" t="s">
        <v>127</v>
      </c>
      <c r="G75" s="35">
        <v>49.4</v>
      </c>
      <c r="H75" s="36">
        <v>20.99</v>
      </c>
      <c r="I75" s="28"/>
      <c r="J75" s="63">
        <f t="shared" si="5"/>
        <v>0</v>
      </c>
      <c r="K75" s="40">
        <f t="shared" si="6"/>
        <v>0</v>
      </c>
      <c r="O75" s="49"/>
      <c r="P75" s="49"/>
    </row>
    <row r="76" spans="1:16" x14ac:dyDescent="0.35">
      <c r="A76" s="28"/>
      <c r="B76" s="14"/>
      <c r="C76" s="14"/>
      <c r="D76" s="14"/>
      <c r="E76" s="14"/>
      <c r="F76" s="34" t="s">
        <v>70</v>
      </c>
      <c r="G76" s="35">
        <v>50.65</v>
      </c>
      <c r="H76" s="36">
        <v>32.99</v>
      </c>
      <c r="I76" s="28">
        <f>27.3</f>
        <v>27.3</v>
      </c>
      <c r="J76" s="63">
        <f t="shared" si="5"/>
        <v>17.781382033563673</v>
      </c>
      <c r="K76" s="40">
        <f t="shared" si="6"/>
        <v>-27.3</v>
      </c>
      <c r="O76" s="49"/>
      <c r="P76" s="49"/>
    </row>
    <row r="77" spans="1:16" x14ac:dyDescent="0.35">
      <c r="A77" s="28"/>
      <c r="B77" s="14"/>
      <c r="C77" s="14"/>
      <c r="D77" s="14"/>
      <c r="E77" s="14"/>
      <c r="F77" s="34" t="s">
        <v>128</v>
      </c>
      <c r="G77" s="35">
        <v>50.45</v>
      </c>
      <c r="H77" s="36">
        <v>24.99</v>
      </c>
      <c r="I77" s="28">
        <f>44.6</f>
        <v>44.6</v>
      </c>
      <c r="J77" s="63">
        <f t="shared" si="5"/>
        <v>22.092249752229929</v>
      </c>
      <c r="K77" s="40">
        <f t="shared" si="6"/>
        <v>-44.6</v>
      </c>
      <c r="O77" s="49"/>
      <c r="P77" s="49"/>
    </row>
    <row r="78" spans="1:16" x14ac:dyDescent="0.35">
      <c r="A78" s="28"/>
      <c r="B78" s="14"/>
      <c r="C78" s="14"/>
      <c r="D78" s="14"/>
      <c r="E78" s="14"/>
      <c r="F78" s="34" t="s">
        <v>67</v>
      </c>
      <c r="G78" s="35">
        <v>53.7</v>
      </c>
      <c r="H78" s="36">
        <v>27.99</v>
      </c>
      <c r="I78" s="28">
        <f>43.05</f>
        <v>43.05</v>
      </c>
      <c r="J78" s="63">
        <f t="shared" si="5"/>
        <v>22.438910614525135</v>
      </c>
      <c r="K78" s="40">
        <f t="shared" si="6"/>
        <v>-43.05</v>
      </c>
      <c r="O78" s="49"/>
      <c r="P78" s="49"/>
    </row>
    <row r="79" spans="1:16" x14ac:dyDescent="0.35">
      <c r="A79" s="28"/>
      <c r="B79" s="14"/>
      <c r="C79" s="14"/>
      <c r="D79" s="14"/>
      <c r="E79" s="14"/>
      <c r="F79" s="34" t="s">
        <v>131</v>
      </c>
      <c r="G79" s="35">
        <v>49.5</v>
      </c>
      <c r="H79" s="36">
        <v>39.99</v>
      </c>
      <c r="I79" s="28">
        <f>27.95</f>
        <v>27.95</v>
      </c>
      <c r="J79" s="63">
        <f t="shared" si="5"/>
        <v>22.580212121212121</v>
      </c>
      <c r="K79" s="40">
        <f t="shared" si="6"/>
        <v>-27.95</v>
      </c>
      <c r="O79" s="49"/>
      <c r="P79" s="49"/>
    </row>
    <row r="80" spans="1:16" x14ac:dyDescent="0.35">
      <c r="A80" s="28"/>
      <c r="B80" s="14"/>
      <c r="C80" s="14"/>
      <c r="D80" s="14"/>
      <c r="E80" s="14"/>
      <c r="F80" s="34" t="s">
        <v>161</v>
      </c>
      <c r="G80" s="35">
        <v>59.45</v>
      </c>
      <c r="H80" s="36">
        <v>38.99</v>
      </c>
      <c r="I80" s="28">
        <f>29.75+59.15</f>
        <v>88.9</v>
      </c>
      <c r="J80" s="63">
        <f t="shared" si="5"/>
        <v>58.304642556770403</v>
      </c>
      <c r="K80" s="40">
        <f t="shared" si="6"/>
        <v>-88.9</v>
      </c>
      <c r="O80" s="49"/>
      <c r="P80" s="49"/>
    </row>
    <row r="81" spans="1:16" x14ac:dyDescent="0.35">
      <c r="A81" s="28"/>
      <c r="B81" s="14"/>
      <c r="C81" s="14"/>
      <c r="D81" s="14"/>
      <c r="E81" s="14"/>
      <c r="F81" s="34" t="s">
        <v>133</v>
      </c>
      <c r="G81" s="35">
        <v>54.55</v>
      </c>
      <c r="H81" s="36"/>
      <c r="I81" s="28">
        <f>19.95</f>
        <v>19.95</v>
      </c>
      <c r="J81" s="63">
        <f t="shared" si="5"/>
        <v>0</v>
      </c>
      <c r="K81" s="40">
        <f t="shared" si="6"/>
        <v>-19.95</v>
      </c>
      <c r="O81" s="49"/>
      <c r="P81" s="49"/>
    </row>
    <row r="82" spans="1:16" x14ac:dyDescent="0.35">
      <c r="A82" s="28"/>
      <c r="B82" s="14"/>
      <c r="C82" s="14"/>
      <c r="D82" s="14"/>
      <c r="E82" s="14"/>
      <c r="F82" s="34" t="s">
        <v>185</v>
      </c>
      <c r="G82" s="35">
        <v>41.4</v>
      </c>
      <c r="H82" s="36">
        <v>33.99</v>
      </c>
      <c r="I82" s="28">
        <f>16.85</f>
        <v>16.850000000000001</v>
      </c>
      <c r="J82" s="63">
        <f t="shared" si="5"/>
        <v>13.834094202898553</v>
      </c>
      <c r="K82" s="40">
        <f t="shared" si="6"/>
        <v>-16.850000000000001</v>
      </c>
      <c r="O82" s="49"/>
      <c r="P82" s="49"/>
    </row>
    <row r="83" spans="1:16" x14ac:dyDescent="0.35">
      <c r="A83" s="28"/>
      <c r="B83" s="14"/>
      <c r="C83" s="14"/>
      <c r="D83" s="14"/>
      <c r="E83" s="14"/>
      <c r="F83" s="34" t="s">
        <v>186</v>
      </c>
      <c r="G83" s="35">
        <v>63.45</v>
      </c>
      <c r="H83" s="36">
        <v>36.99</v>
      </c>
      <c r="I83" s="28">
        <f>22.2</f>
        <v>22.2</v>
      </c>
      <c r="J83" s="63">
        <f t="shared" si="5"/>
        <v>12.942127659574467</v>
      </c>
      <c r="K83" s="40">
        <f t="shared" si="6"/>
        <v>-22.2</v>
      </c>
      <c r="O83" s="49"/>
      <c r="P83" s="49"/>
    </row>
    <row r="84" spans="1:16" x14ac:dyDescent="0.35">
      <c r="A84" s="28"/>
      <c r="B84" s="14"/>
      <c r="C84" s="14"/>
      <c r="D84" s="14"/>
      <c r="E84" s="14"/>
      <c r="F84" s="34" t="s">
        <v>137</v>
      </c>
      <c r="G84" s="35">
        <v>48.1</v>
      </c>
      <c r="H84" s="36">
        <v>20.99</v>
      </c>
      <c r="I84" s="28">
        <f>31.45</f>
        <v>31.45</v>
      </c>
      <c r="J84" s="63">
        <f t="shared" si="5"/>
        <v>13.724230769230768</v>
      </c>
      <c r="K84" s="40">
        <f t="shared" si="6"/>
        <v>-31.45</v>
      </c>
      <c r="O84" s="49"/>
      <c r="P84" s="49"/>
    </row>
    <row r="85" spans="1:16" x14ac:dyDescent="0.35">
      <c r="A85" s="28"/>
      <c r="B85" s="14"/>
      <c r="C85" s="14"/>
      <c r="D85" s="14"/>
      <c r="E85" s="14"/>
      <c r="F85" s="34" t="s">
        <v>132</v>
      </c>
      <c r="G85" s="35">
        <v>50.4</v>
      </c>
      <c r="H85" s="36">
        <v>28.99</v>
      </c>
      <c r="I85" s="28"/>
      <c r="J85" s="63">
        <f t="shared" si="5"/>
        <v>0</v>
      </c>
      <c r="K85" s="40">
        <f t="shared" si="6"/>
        <v>0</v>
      </c>
      <c r="O85" s="49"/>
      <c r="P85" s="49"/>
    </row>
    <row r="86" spans="1:16" x14ac:dyDescent="0.35">
      <c r="A86" s="28"/>
      <c r="B86" s="14"/>
      <c r="C86" s="14"/>
      <c r="D86" s="14"/>
      <c r="E86" s="14"/>
      <c r="F86" s="34" t="s">
        <v>136</v>
      </c>
      <c r="G86" s="35">
        <v>48</v>
      </c>
      <c r="H86" s="36">
        <v>20.99</v>
      </c>
      <c r="I86" s="28">
        <f>27.05</f>
        <v>27.05</v>
      </c>
      <c r="J86" s="63">
        <f t="shared" si="5"/>
        <v>11.828739583333334</v>
      </c>
      <c r="K86" s="40">
        <f t="shared" si="6"/>
        <v>-27.05</v>
      </c>
      <c r="O86" s="49"/>
      <c r="P86" s="49"/>
    </row>
    <row r="87" spans="1:16" x14ac:dyDescent="0.35">
      <c r="A87" s="28"/>
      <c r="B87" s="14"/>
      <c r="C87" s="14"/>
      <c r="D87" s="14"/>
      <c r="E87" s="14"/>
      <c r="F87" s="34" t="s">
        <v>222</v>
      </c>
      <c r="G87" s="35"/>
      <c r="H87" s="36"/>
      <c r="I87" s="28">
        <f>46.3-0</f>
        <v>46.3</v>
      </c>
      <c r="J87" s="63" t="e">
        <f t="shared" si="5"/>
        <v>#DIV/0!</v>
      </c>
      <c r="K87" s="40">
        <f t="shared" si="6"/>
        <v>-46.3</v>
      </c>
      <c r="O87" s="49"/>
      <c r="P87" s="49"/>
    </row>
    <row r="88" spans="1:16" x14ac:dyDescent="0.35">
      <c r="A88" s="28"/>
      <c r="B88" s="14"/>
      <c r="C88" s="14"/>
      <c r="D88" s="14"/>
      <c r="E88" s="14"/>
      <c r="F88" s="34" t="s">
        <v>187</v>
      </c>
      <c r="G88" s="35"/>
      <c r="H88" s="36">
        <v>20.99</v>
      </c>
      <c r="I88" s="28">
        <f>39.5</f>
        <v>39.5</v>
      </c>
      <c r="J88" s="63" t="e">
        <f t="shared" si="5"/>
        <v>#DIV/0!</v>
      </c>
      <c r="K88" s="40">
        <f t="shared" si="6"/>
        <v>-39.5</v>
      </c>
      <c r="O88" s="49"/>
      <c r="P88" s="49"/>
    </row>
    <row r="89" spans="1:16" x14ac:dyDescent="0.35">
      <c r="A89" s="28"/>
      <c r="B89" s="14"/>
      <c r="C89" s="14"/>
      <c r="D89" s="14"/>
      <c r="E89" s="14"/>
      <c r="F89" s="34" t="s">
        <v>177</v>
      </c>
      <c r="G89" s="35">
        <v>42.75</v>
      </c>
      <c r="H89" s="36">
        <v>22.99</v>
      </c>
      <c r="I89" s="28">
        <f>20.2</f>
        <v>20.2</v>
      </c>
      <c r="J89" s="63">
        <f t="shared" si="5"/>
        <v>10.863111111111111</v>
      </c>
      <c r="K89" s="40">
        <f t="shared" si="6"/>
        <v>-20.2</v>
      </c>
      <c r="O89" s="49"/>
      <c r="P89" s="49"/>
    </row>
    <row r="90" spans="1:16" x14ac:dyDescent="0.35">
      <c r="A90" s="28"/>
      <c r="B90" s="14"/>
      <c r="C90" s="14"/>
      <c r="D90" s="14"/>
      <c r="E90" s="14"/>
      <c r="F90" s="34" t="s">
        <v>189</v>
      </c>
      <c r="G90" s="35">
        <v>42.35</v>
      </c>
      <c r="H90" s="36">
        <v>21.99</v>
      </c>
      <c r="I90" s="28">
        <f>22.1</f>
        <v>22.1</v>
      </c>
      <c r="J90" s="63">
        <f t="shared" si="5"/>
        <v>11.47530106257379</v>
      </c>
      <c r="K90" s="40">
        <f t="shared" si="6"/>
        <v>-22.1</v>
      </c>
      <c r="O90" s="49"/>
      <c r="P90" s="49"/>
    </row>
    <row r="91" spans="1:16" x14ac:dyDescent="0.35">
      <c r="A91" s="28"/>
      <c r="B91" s="14"/>
      <c r="C91" s="14"/>
      <c r="D91" s="14"/>
      <c r="E91" s="14"/>
      <c r="F91" s="34" t="s">
        <v>190</v>
      </c>
      <c r="G91" s="35">
        <v>41.15</v>
      </c>
      <c r="H91" s="36">
        <v>21.99</v>
      </c>
      <c r="I91" s="28">
        <f>34.55</f>
        <v>34.549999999999997</v>
      </c>
      <c r="J91" s="63">
        <f t="shared" si="5"/>
        <v>18.463049817739975</v>
      </c>
      <c r="K91" s="40">
        <f t="shared" ref="K91:K96" si="7">(SUM(A91:E91))-I91</f>
        <v>-34.549999999999997</v>
      </c>
      <c r="O91" s="49"/>
      <c r="P91" s="49"/>
    </row>
    <row r="92" spans="1:16" x14ac:dyDescent="0.35">
      <c r="A92" s="28"/>
      <c r="B92" s="14"/>
      <c r="C92" s="14"/>
      <c r="D92" s="14"/>
      <c r="E92" s="14"/>
      <c r="F92" s="34" t="s">
        <v>191</v>
      </c>
      <c r="G92" s="35">
        <v>42.75</v>
      </c>
      <c r="H92" s="36">
        <v>21.99</v>
      </c>
      <c r="I92" s="28">
        <f>42.35</f>
        <v>42.35</v>
      </c>
      <c r="J92" s="63">
        <f t="shared" si="5"/>
        <v>21.784245614035086</v>
      </c>
      <c r="K92" s="40">
        <f t="shared" si="7"/>
        <v>-42.35</v>
      </c>
      <c r="O92" s="49"/>
      <c r="P92" s="49"/>
    </row>
    <row r="93" spans="1:16" x14ac:dyDescent="0.35">
      <c r="A93" s="28"/>
      <c r="B93" s="14"/>
      <c r="C93" s="14"/>
      <c r="D93" s="14"/>
      <c r="E93" s="14"/>
      <c r="F93" s="34" t="s">
        <v>192</v>
      </c>
      <c r="G93" s="35">
        <v>43.55</v>
      </c>
      <c r="H93" s="36">
        <v>33.99</v>
      </c>
      <c r="I93" s="28">
        <f>25.3</f>
        <v>25.3</v>
      </c>
      <c r="J93" s="63">
        <f t="shared" si="5"/>
        <v>19.746199770378876</v>
      </c>
      <c r="K93" s="40">
        <f t="shared" si="7"/>
        <v>-25.3</v>
      </c>
      <c r="O93" s="49"/>
      <c r="P93" s="49"/>
    </row>
    <row r="94" spans="1:16" x14ac:dyDescent="0.35">
      <c r="A94" s="28"/>
      <c r="B94" s="14"/>
      <c r="C94" s="14"/>
      <c r="D94" s="14"/>
      <c r="E94" s="14"/>
      <c r="F94" s="34" t="s">
        <v>193</v>
      </c>
      <c r="G94" s="35">
        <v>44.15</v>
      </c>
      <c r="H94" s="36">
        <v>34.99</v>
      </c>
      <c r="I94" s="28">
        <f>19.7</f>
        <v>19.7</v>
      </c>
      <c r="J94" s="63">
        <f t="shared" si="5"/>
        <v>15.612751981879954</v>
      </c>
      <c r="K94" s="40">
        <f t="shared" si="7"/>
        <v>-19.7</v>
      </c>
      <c r="O94" s="49"/>
      <c r="P94" s="49"/>
    </row>
    <row r="95" spans="1:16" x14ac:dyDescent="0.35">
      <c r="A95" s="28"/>
      <c r="B95" s="14"/>
      <c r="C95" s="14"/>
      <c r="D95" s="14"/>
      <c r="E95" s="14"/>
      <c r="F95" s="34" t="s">
        <v>195</v>
      </c>
      <c r="G95" s="35">
        <v>48.1</v>
      </c>
      <c r="H95" s="36">
        <v>29.99</v>
      </c>
      <c r="I95" s="28">
        <f>41.6</f>
        <v>41.6</v>
      </c>
      <c r="J95" s="63">
        <f t="shared" si="5"/>
        <v>25.937297297297299</v>
      </c>
      <c r="K95" s="40">
        <f t="shared" si="7"/>
        <v>-41.6</v>
      </c>
      <c r="O95" s="49"/>
      <c r="P95" s="49"/>
    </row>
    <row r="96" spans="1:16" x14ac:dyDescent="0.35">
      <c r="A96" s="28"/>
      <c r="B96" s="14"/>
      <c r="C96" s="14"/>
      <c r="D96" s="14"/>
      <c r="E96" s="14"/>
      <c r="F96" s="34" t="s">
        <v>194</v>
      </c>
      <c r="G96" s="35">
        <v>42.8</v>
      </c>
      <c r="H96" s="36">
        <v>25.99</v>
      </c>
      <c r="I96" s="28">
        <f>18.15+42.75</f>
        <v>60.9</v>
      </c>
      <c r="J96" s="63">
        <f t="shared" si="5"/>
        <v>36.981098130841119</v>
      </c>
      <c r="K96" s="40">
        <f t="shared" si="7"/>
        <v>-60.9</v>
      </c>
      <c r="O96" s="49"/>
      <c r="P96" s="49"/>
    </row>
    <row r="97" spans="1:16" ht="15" thickBot="1" x14ac:dyDescent="0.4">
      <c r="A97" s="28"/>
      <c r="B97" s="14"/>
      <c r="C97" s="14"/>
      <c r="D97" s="14"/>
      <c r="E97" s="14"/>
      <c r="F97" s="34" t="s">
        <v>188</v>
      </c>
      <c r="G97" s="35">
        <v>53.9</v>
      </c>
      <c r="H97" s="36">
        <v>33.99</v>
      </c>
      <c r="I97" s="28">
        <f>53.85</f>
        <v>53.85</v>
      </c>
      <c r="J97" s="63">
        <f t="shared" si="5"/>
        <v>33.958469387755102</v>
      </c>
      <c r="K97" s="40">
        <f t="shared" si="6"/>
        <v>-53.85</v>
      </c>
      <c r="O97" s="49"/>
      <c r="P97" s="49"/>
    </row>
    <row r="98" spans="1:16" ht="17.25" customHeight="1" thickBot="1" x14ac:dyDescent="0.6">
      <c r="A98" s="84" t="s">
        <v>9</v>
      </c>
      <c r="B98" s="85"/>
      <c r="C98" s="85"/>
      <c r="D98" s="85"/>
      <c r="E98" s="85"/>
      <c r="F98" s="85"/>
      <c r="G98" s="85"/>
      <c r="H98" s="85"/>
      <c r="I98" s="86"/>
      <c r="J98" s="87"/>
      <c r="K98" s="88"/>
      <c r="O98" s="49"/>
      <c r="P98" s="49"/>
    </row>
    <row r="99" spans="1:16" ht="24" thickBot="1" x14ac:dyDescent="0.6">
      <c r="A99" s="84" t="s">
        <v>139</v>
      </c>
      <c r="B99" s="85"/>
      <c r="C99" s="85"/>
      <c r="D99" s="85"/>
      <c r="E99" s="85"/>
      <c r="F99" s="85"/>
      <c r="G99" s="85"/>
      <c r="H99" s="85"/>
      <c r="I99" s="86"/>
      <c r="J99" s="89">
        <v>0</v>
      </c>
      <c r="K99" s="90"/>
    </row>
    <row r="100" spans="1:16" ht="24" thickBot="1" x14ac:dyDescent="0.6">
      <c r="A100" s="84" t="s">
        <v>55</v>
      </c>
      <c r="B100" s="85"/>
      <c r="C100" s="85"/>
      <c r="D100" s="85"/>
      <c r="E100" s="85"/>
      <c r="F100" s="85"/>
      <c r="G100" s="85"/>
      <c r="H100" s="85"/>
      <c r="I100" s="86"/>
      <c r="J100" s="89">
        <v>0</v>
      </c>
      <c r="K100" s="90"/>
    </row>
    <row r="101" spans="1:16" ht="24" thickBot="1" x14ac:dyDescent="0.6">
      <c r="A101" s="84" t="s">
        <v>11</v>
      </c>
      <c r="B101" s="85"/>
      <c r="C101" s="85"/>
      <c r="D101" s="85"/>
      <c r="E101" s="85"/>
      <c r="F101" s="85"/>
      <c r="G101" s="85"/>
      <c r="H101" s="85"/>
      <c r="I101" s="86"/>
      <c r="J101" s="87" t="e">
        <f>SUM(J66:J97)</f>
        <v>#DIV/0!</v>
      </c>
      <c r="K101" s="88"/>
    </row>
    <row r="102" spans="1:16" ht="24" thickBot="1" x14ac:dyDescent="0.6">
      <c r="A102" s="84" t="s">
        <v>140</v>
      </c>
      <c r="B102" s="85"/>
      <c r="C102" s="85"/>
      <c r="D102" s="85"/>
      <c r="E102" s="85"/>
      <c r="F102" s="85"/>
      <c r="G102" s="85"/>
      <c r="H102" s="85"/>
      <c r="I102" s="86"/>
      <c r="J102" s="89">
        <v>1739.25</v>
      </c>
      <c r="K102" s="90"/>
      <c r="O102" s="49"/>
      <c r="P102" s="49"/>
    </row>
    <row r="103" spans="1:16" ht="24" thickBot="1" x14ac:dyDescent="0.6">
      <c r="A103" s="84" t="s">
        <v>141</v>
      </c>
      <c r="B103" s="85"/>
      <c r="C103" s="85"/>
      <c r="D103" s="85"/>
      <c r="E103" s="85"/>
      <c r="F103" s="85"/>
      <c r="G103" s="85"/>
      <c r="H103" s="85"/>
      <c r="I103" s="86"/>
      <c r="J103" s="87" t="e">
        <f>J98+J99+J100-J101</f>
        <v>#DIV/0!</v>
      </c>
      <c r="K103" s="88"/>
      <c r="O103" s="49"/>
      <c r="P103" s="49"/>
    </row>
    <row r="104" spans="1:16" ht="24" thickBot="1" x14ac:dyDescent="0.6">
      <c r="A104" s="109" t="s">
        <v>142</v>
      </c>
      <c r="B104" s="110"/>
      <c r="C104" s="110"/>
      <c r="D104" s="110"/>
      <c r="E104" s="110"/>
      <c r="F104" s="110"/>
      <c r="G104" s="110"/>
      <c r="H104" s="110"/>
      <c r="I104" s="111"/>
      <c r="J104" s="112" t="e">
        <f>J103/J102</f>
        <v>#DIV/0!</v>
      </c>
      <c r="K104" s="113"/>
      <c r="O104" s="49"/>
      <c r="P104" s="49"/>
    </row>
    <row r="105" spans="1:16" ht="24" thickBot="1" x14ac:dyDescent="0.6">
      <c r="A105" s="109" t="s">
        <v>56</v>
      </c>
      <c r="B105" s="110"/>
      <c r="C105" s="110"/>
      <c r="D105" s="110"/>
      <c r="E105" s="110"/>
      <c r="F105" s="110"/>
      <c r="G105" s="110"/>
      <c r="H105" s="110"/>
      <c r="I105" s="111"/>
      <c r="J105" s="112" t="e">
        <f>((G187+G188+G190-J101)/G189)</f>
        <v>#REF!</v>
      </c>
      <c r="K105" s="113"/>
      <c r="O105" s="49"/>
      <c r="P105" s="49"/>
    </row>
    <row r="106" spans="1:16" ht="15" thickBot="1" x14ac:dyDescent="0.4">
      <c r="A106" s="62"/>
      <c r="B106" s="15"/>
      <c r="C106" s="15"/>
      <c r="D106" s="15"/>
      <c r="E106" s="15"/>
      <c r="F106" s="34"/>
      <c r="G106" s="35" t="e">
        <f>#REF!</f>
        <v>#REF!</v>
      </c>
      <c r="H106" s="36"/>
      <c r="I106" s="28"/>
      <c r="J106" s="39">
        <f t="shared" ref="J106" si="8">I106*H106</f>
        <v>0</v>
      </c>
      <c r="K106" s="40">
        <f t="shared" ref="K106" si="9">(SUM(A106:E106))-I106</f>
        <v>0</v>
      </c>
      <c r="O106" s="49"/>
      <c r="P106" s="49"/>
    </row>
    <row r="107" spans="1:16" x14ac:dyDescent="0.35">
      <c r="A107" s="145" t="s">
        <v>0</v>
      </c>
      <c r="B107" s="147" t="s">
        <v>1</v>
      </c>
      <c r="C107" s="148"/>
      <c r="D107" s="148"/>
      <c r="E107" s="149"/>
      <c r="F107" s="102" t="s">
        <v>2</v>
      </c>
      <c r="G107" s="102" t="s">
        <v>3</v>
      </c>
      <c r="H107" s="102" t="s">
        <v>4</v>
      </c>
      <c r="I107" s="102" t="s">
        <v>5</v>
      </c>
      <c r="J107" s="102" t="s">
        <v>6</v>
      </c>
      <c r="K107" s="104" t="s">
        <v>7</v>
      </c>
      <c r="O107" s="49"/>
      <c r="P107" s="49"/>
    </row>
    <row r="108" spans="1:16" x14ac:dyDescent="0.35">
      <c r="A108" s="146"/>
      <c r="B108" s="27">
        <v>1</v>
      </c>
      <c r="C108" s="27">
        <v>2</v>
      </c>
      <c r="D108" s="27">
        <v>3</v>
      </c>
      <c r="E108" s="27">
        <v>4</v>
      </c>
      <c r="F108" s="103"/>
      <c r="G108" s="103"/>
      <c r="H108" s="103"/>
      <c r="I108" s="103"/>
      <c r="J108" s="103"/>
      <c r="K108" s="105"/>
      <c r="O108" s="49"/>
      <c r="P108" s="49"/>
    </row>
    <row r="109" spans="1:16" ht="23.5" x14ac:dyDescent="0.55000000000000004">
      <c r="A109" s="106" t="s">
        <v>15</v>
      </c>
      <c r="B109" s="107"/>
      <c r="C109" s="107"/>
      <c r="D109" s="107"/>
      <c r="E109" s="107"/>
      <c r="F109" s="107"/>
      <c r="G109" s="107"/>
      <c r="H109" s="107"/>
      <c r="I109" s="107"/>
      <c r="J109" s="107"/>
      <c r="K109" s="108"/>
      <c r="O109" s="49"/>
      <c r="P109" s="49"/>
    </row>
    <row r="110" spans="1:16" x14ac:dyDescent="0.35">
      <c r="A110" s="28"/>
      <c r="B110" s="14"/>
      <c r="C110" s="14"/>
      <c r="D110" s="14"/>
      <c r="E110" s="14"/>
      <c r="F110" s="34" t="s">
        <v>104</v>
      </c>
      <c r="G110" s="35" t="e">
        <f>#REF!</f>
        <v>#REF!</v>
      </c>
      <c r="H110" s="36">
        <v>2.06</v>
      </c>
      <c r="I110" s="28">
        <f>14+3+2</f>
        <v>19</v>
      </c>
      <c r="J110" s="39">
        <f>I110*H110</f>
        <v>39.14</v>
      </c>
      <c r="K110" s="40">
        <f>(SUM(A110:E110))-I110</f>
        <v>-19</v>
      </c>
      <c r="O110" s="49"/>
      <c r="P110" s="49"/>
    </row>
    <row r="111" spans="1:16" x14ac:dyDescent="0.35">
      <c r="A111" s="17"/>
      <c r="B111" s="15"/>
      <c r="C111" s="15"/>
      <c r="D111" s="15"/>
      <c r="E111" s="15"/>
      <c r="F111" s="34" t="s">
        <v>103</v>
      </c>
      <c r="G111" s="35" t="e">
        <f>#REF!</f>
        <v>#REF!</v>
      </c>
      <c r="H111" s="36">
        <v>2.06</v>
      </c>
      <c r="I111" s="17">
        <v>0</v>
      </c>
      <c r="J111" s="39">
        <f t="shared" ref="J111:J125" si="10">I111*H111</f>
        <v>0</v>
      </c>
      <c r="K111" s="40">
        <f t="shared" ref="K111:K125" si="11">(SUM(A111:E111))-I111</f>
        <v>0</v>
      </c>
      <c r="O111" s="49"/>
      <c r="P111" s="49"/>
    </row>
    <row r="112" spans="1:16" x14ac:dyDescent="0.35">
      <c r="A112" s="17"/>
      <c r="B112" s="15"/>
      <c r="C112" s="15"/>
      <c r="D112" s="15"/>
      <c r="E112" s="15"/>
      <c r="F112" s="34" t="s">
        <v>100</v>
      </c>
      <c r="G112" s="35" t="e">
        <f>#REF!</f>
        <v>#REF!</v>
      </c>
      <c r="H112" s="36">
        <v>1.82</v>
      </c>
      <c r="I112" s="17">
        <v>0</v>
      </c>
      <c r="J112" s="39">
        <f t="shared" si="10"/>
        <v>0</v>
      </c>
      <c r="K112" s="40">
        <f t="shared" si="11"/>
        <v>0</v>
      </c>
      <c r="O112" s="49"/>
      <c r="P112" s="49"/>
    </row>
    <row r="113" spans="1:16" x14ac:dyDescent="0.35">
      <c r="A113" s="17"/>
      <c r="B113" s="15"/>
      <c r="C113" s="15"/>
      <c r="D113" s="15"/>
      <c r="E113" s="15"/>
      <c r="F113" s="34" t="s">
        <v>106</v>
      </c>
      <c r="G113" s="35" t="e">
        <f>#REF!</f>
        <v>#REF!</v>
      </c>
      <c r="H113" s="36">
        <v>2.5</v>
      </c>
      <c r="I113" s="17">
        <f>28</f>
        <v>28</v>
      </c>
      <c r="J113" s="39">
        <f t="shared" si="10"/>
        <v>70</v>
      </c>
      <c r="K113" s="40">
        <f t="shared" si="11"/>
        <v>-28</v>
      </c>
      <c r="O113" s="49"/>
      <c r="P113" s="49"/>
    </row>
    <row r="114" spans="1:16" x14ac:dyDescent="0.35">
      <c r="A114" s="17"/>
      <c r="B114" s="15"/>
      <c r="C114" s="15"/>
      <c r="D114" s="15"/>
      <c r="E114" s="15"/>
      <c r="F114" s="34" t="s">
        <v>175</v>
      </c>
      <c r="G114" s="35">
        <v>1</v>
      </c>
      <c r="H114" s="36">
        <v>2</v>
      </c>
      <c r="I114" s="17">
        <f>12+11</f>
        <v>23</v>
      </c>
      <c r="J114" s="39">
        <f t="shared" si="10"/>
        <v>46</v>
      </c>
      <c r="K114" s="40">
        <f t="shared" si="11"/>
        <v>-23</v>
      </c>
      <c r="O114" s="49"/>
      <c r="P114" s="49"/>
    </row>
    <row r="115" spans="1:16" x14ac:dyDescent="0.35">
      <c r="A115" s="17"/>
      <c r="B115" s="15"/>
      <c r="C115" s="15"/>
      <c r="D115" s="15"/>
      <c r="E115" s="15"/>
      <c r="F115" s="34" t="s">
        <v>16</v>
      </c>
      <c r="G115" s="35" t="e">
        <f>#REF!</f>
        <v>#REF!</v>
      </c>
      <c r="H115" s="36">
        <v>2.2000000000000002</v>
      </c>
      <c r="I115" s="17">
        <f>7+11+25</f>
        <v>43</v>
      </c>
      <c r="J115" s="39">
        <f t="shared" si="10"/>
        <v>94.600000000000009</v>
      </c>
      <c r="K115" s="40">
        <f t="shared" si="11"/>
        <v>-43</v>
      </c>
      <c r="O115" s="49"/>
      <c r="P115" s="49"/>
    </row>
    <row r="116" spans="1:16" x14ac:dyDescent="0.35">
      <c r="A116" s="17"/>
      <c r="B116" s="15"/>
      <c r="C116" s="15"/>
      <c r="D116" s="15"/>
      <c r="E116" s="15"/>
      <c r="F116" s="34" t="s">
        <v>17</v>
      </c>
      <c r="G116" s="35" t="e">
        <f>#REF!</f>
        <v>#REF!</v>
      </c>
      <c r="H116" s="36">
        <v>3</v>
      </c>
      <c r="I116" s="17">
        <f>17</f>
        <v>17</v>
      </c>
      <c r="J116" s="39">
        <f t="shared" si="10"/>
        <v>51</v>
      </c>
      <c r="K116" s="40">
        <f t="shared" si="11"/>
        <v>-17</v>
      </c>
      <c r="O116" s="49"/>
      <c r="P116" s="49"/>
    </row>
    <row r="117" spans="1:16" x14ac:dyDescent="0.35">
      <c r="A117" s="17"/>
      <c r="B117" s="15"/>
      <c r="C117" s="15"/>
      <c r="D117" s="15"/>
      <c r="E117" s="15"/>
      <c r="F117" s="34" t="s">
        <v>105</v>
      </c>
      <c r="G117" s="35" t="e">
        <f>#REF!</f>
        <v>#REF!</v>
      </c>
      <c r="H117" s="36">
        <v>2.14</v>
      </c>
      <c r="I117" s="17">
        <f>24</f>
        <v>24</v>
      </c>
      <c r="J117" s="39">
        <f t="shared" si="10"/>
        <v>51.36</v>
      </c>
      <c r="K117" s="40">
        <f t="shared" si="11"/>
        <v>-24</v>
      </c>
      <c r="O117" s="49"/>
      <c r="P117" s="49"/>
    </row>
    <row r="118" spans="1:16" x14ac:dyDescent="0.35">
      <c r="A118" s="31"/>
      <c r="B118" s="15"/>
      <c r="C118" s="15"/>
      <c r="D118" s="15"/>
      <c r="E118" s="15"/>
      <c r="F118" s="34" t="s">
        <v>102</v>
      </c>
      <c r="G118" s="35" t="e">
        <f>#REF!</f>
        <v>#REF!</v>
      </c>
      <c r="H118" s="36">
        <v>2.06</v>
      </c>
      <c r="I118" s="31"/>
      <c r="J118" s="39">
        <f t="shared" si="10"/>
        <v>0</v>
      </c>
      <c r="K118" s="40">
        <f t="shared" si="11"/>
        <v>0</v>
      </c>
      <c r="O118" s="49"/>
      <c r="P118" s="49"/>
    </row>
    <row r="119" spans="1:16" x14ac:dyDescent="0.35">
      <c r="A119" s="17"/>
      <c r="B119" s="15"/>
      <c r="C119" s="15"/>
      <c r="D119" s="15"/>
      <c r="E119" s="15"/>
      <c r="F119" s="34" t="s">
        <v>44</v>
      </c>
      <c r="G119" s="35" t="e">
        <f>#REF!</f>
        <v>#REF!</v>
      </c>
      <c r="H119" s="36">
        <v>2.08</v>
      </c>
      <c r="I119" s="17">
        <f>6</f>
        <v>6</v>
      </c>
      <c r="J119" s="39">
        <f t="shared" si="10"/>
        <v>12.48</v>
      </c>
      <c r="K119" s="40">
        <f t="shared" si="11"/>
        <v>-6</v>
      </c>
      <c r="O119" s="49"/>
      <c r="P119" s="49"/>
    </row>
    <row r="120" spans="1:16" x14ac:dyDescent="0.35">
      <c r="A120" s="17"/>
      <c r="B120" s="15"/>
      <c r="C120" s="15"/>
      <c r="D120" s="15"/>
      <c r="E120" s="15"/>
      <c r="F120" s="34" t="s">
        <v>107</v>
      </c>
      <c r="G120" s="35" t="e">
        <f>#REF!</f>
        <v>#REF!</v>
      </c>
      <c r="H120" s="36">
        <v>2.33</v>
      </c>
      <c r="I120" s="17">
        <f>12+24</f>
        <v>36</v>
      </c>
      <c r="J120" s="39">
        <f t="shared" si="10"/>
        <v>83.88</v>
      </c>
      <c r="K120" s="40">
        <f t="shared" si="11"/>
        <v>-36</v>
      </c>
      <c r="O120" s="49"/>
      <c r="P120" s="49"/>
    </row>
    <row r="121" spans="1:16" x14ac:dyDescent="0.35">
      <c r="A121" s="17"/>
      <c r="B121" s="15"/>
      <c r="C121" s="15"/>
      <c r="D121" s="15"/>
      <c r="E121" s="15"/>
      <c r="F121" s="34" t="s">
        <v>101</v>
      </c>
      <c r="G121" s="35" t="e">
        <f>#REF!</f>
        <v>#REF!</v>
      </c>
      <c r="H121" s="36">
        <v>1.82</v>
      </c>
      <c r="I121" s="17">
        <f>15+25</f>
        <v>40</v>
      </c>
      <c r="J121" s="39">
        <f t="shared" si="10"/>
        <v>72.8</v>
      </c>
      <c r="K121" s="40">
        <f t="shared" si="11"/>
        <v>-40</v>
      </c>
      <c r="O121" s="49"/>
      <c r="P121" s="49"/>
    </row>
    <row r="122" spans="1:16" x14ac:dyDescent="0.35">
      <c r="A122" s="17"/>
      <c r="B122" s="15"/>
      <c r="C122" s="15"/>
      <c r="D122" s="15"/>
      <c r="E122" s="15"/>
      <c r="F122" s="34" t="s">
        <v>108</v>
      </c>
      <c r="G122" s="35" t="e">
        <f>#REF!</f>
        <v>#REF!</v>
      </c>
      <c r="H122" s="36">
        <v>1.5</v>
      </c>
      <c r="I122" s="17">
        <f>18+6</f>
        <v>24</v>
      </c>
      <c r="J122" s="39">
        <f t="shared" si="10"/>
        <v>36</v>
      </c>
      <c r="K122" s="40">
        <f t="shared" si="11"/>
        <v>-24</v>
      </c>
      <c r="O122" s="49"/>
      <c r="P122" s="49"/>
    </row>
    <row r="123" spans="1:16" x14ac:dyDescent="0.35">
      <c r="A123" s="17"/>
      <c r="B123" s="15"/>
      <c r="C123" s="15"/>
      <c r="D123" s="15"/>
      <c r="E123" s="15"/>
      <c r="F123" s="34" t="s">
        <v>18</v>
      </c>
      <c r="G123" s="35" t="e">
        <f>#REF!</f>
        <v>#REF!</v>
      </c>
      <c r="H123" s="36">
        <v>2.1</v>
      </c>
      <c r="I123" s="17">
        <f>24</f>
        <v>24</v>
      </c>
      <c r="J123" s="39">
        <f t="shared" si="10"/>
        <v>50.400000000000006</v>
      </c>
      <c r="K123" s="40">
        <f t="shared" si="11"/>
        <v>-24</v>
      </c>
      <c r="O123" s="49"/>
      <c r="P123" s="49"/>
    </row>
    <row r="124" spans="1:16" x14ac:dyDescent="0.35">
      <c r="A124" s="17"/>
      <c r="B124" s="15"/>
      <c r="C124" s="15"/>
      <c r="D124" s="15"/>
      <c r="E124" s="15"/>
      <c r="F124" s="34" t="s">
        <v>99</v>
      </c>
      <c r="G124" s="35" t="e">
        <f>#REF!</f>
        <v>#REF!</v>
      </c>
      <c r="H124" s="36">
        <v>2.41</v>
      </c>
      <c r="I124" s="17">
        <f>3</f>
        <v>3</v>
      </c>
      <c r="J124" s="39">
        <f t="shared" si="10"/>
        <v>7.23</v>
      </c>
      <c r="K124" s="40">
        <f t="shared" si="11"/>
        <v>-3</v>
      </c>
      <c r="O124" s="49"/>
      <c r="P124" s="49"/>
    </row>
    <row r="125" spans="1:16" ht="20.149999999999999" customHeight="1" x14ac:dyDescent="0.35">
      <c r="A125" s="17"/>
      <c r="B125" s="15"/>
      <c r="C125" s="15"/>
      <c r="D125" s="15"/>
      <c r="E125" s="15"/>
      <c r="F125" s="34" t="s">
        <v>19</v>
      </c>
      <c r="G125" s="35" t="e">
        <f>#REF!</f>
        <v>#REF!</v>
      </c>
      <c r="H125" s="36">
        <v>2.5499999999999998</v>
      </c>
      <c r="I125" s="17">
        <f>13+10</f>
        <v>23</v>
      </c>
      <c r="J125" s="39">
        <f t="shared" si="10"/>
        <v>58.65</v>
      </c>
      <c r="K125" s="40">
        <f t="shared" si="11"/>
        <v>-23</v>
      </c>
    </row>
    <row r="126" spans="1:16" ht="20.149999999999999" customHeight="1" x14ac:dyDescent="0.35">
      <c r="A126" s="91" t="s">
        <v>117</v>
      </c>
      <c r="B126" s="92"/>
      <c r="C126" s="92"/>
      <c r="D126" s="92"/>
      <c r="E126" s="92"/>
      <c r="F126" s="92"/>
      <c r="G126" s="92"/>
      <c r="H126" s="92"/>
      <c r="I126" s="92"/>
      <c r="J126" s="92"/>
      <c r="K126" s="93"/>
    </row>
    <row r="127" spans="1:16" ht="20.149999999999999" customHeight="1" x14ac:dyDescent="0.35">
      <c r="A127" s="62"/>
      <c r="B127" s="15"/>
      <c r="C127" s="15"/>
      <c r="D127" s="15"/>
      <c r="E127" s="15"/>
      <c r="F127" s="34" t="s">
        <v>116</v>
      </c>
      <c r="G127" s="35" t="e">
        <f>#REF!</f>
        <v>#REF!</v>
      </c>
      <c r="H127" s="36">
        <v>2.7</v>
      </c>
      <c r="I127" s="17">
        <v>4</v>
      </c>
      <c r="J127" s="39">
        <f t="shared" ref="J127:J132" si="12">I127*H127</f>
        <v>10.8</v>
      </c>
      <c r="K127" s="40">
        <f t="shared" ref="K127:K135" si="13">(SUM(A127:E127))-I127</f>
        <v>-4</v>
      </c>
    </row>
    <row r="128" spans="1:16" ht="20.149999999999999" customHeight="1" x14ac:dyDescent="0.35">
      <c r="A128" s="62"/>
      <c r="B128" s="15"/>
      <c r="C128" s="15"/>
      <c r="D128" s="15"/>
      <c r="E128" s="15"/>
      <c r="F128" s="34" t="s">
        <v>115</v>
      </c>
      <c r="G128" s="35" t="e">
        <f>#REF!</f>
        <v>#REF!</v>
      </c>
      <c r="H128" s="36">
        <v>3.12</v>
      </c>
      <c r="I128" s="17">
        <v>1</v>
      </c>
      <c r="J128" s="39">
        <f t="shared" si="12"/>
        <v>3.12</v>
      </c>
      <c r="K128" s="40">
        <f t="shared" si="13"/>
        <v>-1</v>
      </c>
    </row>
    <row r="129" spans="1:11" ht="20.149999999999999" customHeight="1" x14ac:dyDescent="0.35">
      <c r="A129" s="62"/>
      <c r="B129" s="15"/>
      <c r="C129" s="15"/>
      <c r="D129" s="15"/>
      <c r="E129" s="15"/>
      <c r="F129" s="34" t="s">
        <v>114</v>
      </c>
      <c r="G129" s="35" t="e">
        <f>#REF!</f>
        <v>#REF!</v>
      </c>
      <c r="H129" s="36">
        <v>2.4900000000000002</v>
      </c>
      <c r="I129" s="17">
        <v>0</v>
      </c>
      <c r="J129" s="39">
        <f t="shared" si="12"/>
        <v>0</v>
      </c>
      <c r="K129" s="40">
        <f t="shared" si="13"/>
        <v>0</v>
      </c>
    </row>
    <row r="130" spans="1:11" ht="20.149999999999999" customHeight="1" x14ac:dyDescent="0.35">
      <c r="A130" s="62"/>
      <c r="B130" s="15"/>
      <c r="C130" s="15"/>
      <c r="D130" s="15"/>
      <c r="E130" s="15"/>
      <c r="F130" s="34" t="s">
        <v>109</v>
      </c>
      <c r="G130" s="35" t="e">
        <f>#REF!</f>
        <v>#REF!</v>
      </c>
      <c r="H130" s="36">
        <v>2.7</v>
      </c>
      <c r="I130" s="17">
        <v>0</v>
      </c>
      <c r="J130" s="39">
        <f t="shared" si="12"/>
        <v>0</v>
      </c>
      <c r="K130" s="40">
        <f t="shared" si="13"/>
        <v>0</v>
      </c>
    </row>
    <row r="131" spans="1:11" ht="20.149999999999999" customHeight="1" x14ac:dyDescent="0.35">
      <c r="A131" s="62"/>
      <c r="B131" s="15"/>
      <c r="C131" s="15"/>
      <c r="D131" s="15"/>
      <c r="E131" s="15"/>
      <c r="F131" s="34" t="s">
        <v>110</v>
      </c>
      <c r="G131" s="35" t="e">
        <f>#REF!</f>
        <v>#REF!</v>
      </c>
      <c r="H131" s="36">
        <v>2.7</v>
      </c>
      <c r="I131" s="17">
        <v>5</v>
      </c>
      <c r="J131" s="39">
        <f t="shared" si="12"/>
        <v>13.5</v>
      </c>
      <c r="K131" s="40">
        <f t="shared" si="13"/>
        <v>-5</v>
      </c>
    </row>
    <row r="132" spans="1:11" ht="20.149999999999999" customHeight="1" x14ac:dyDescent="0.35">
      <c r="A132" s="62"/>
      <c r="B132" s="15"/>
      <c r="C132" s="15"/>
      <c r="D132" s="15"/>
      <c r="E132" s="15"/>
      <c r="F132" s="34" t="s">
        <v>111</v>
      </c>
      <c r="G132" s="35" t="e">
        <f>#REF!</f>
        <v>#REF!</v>
      </c>
      <c r="H132" s="36">
        <v>2.7</v>
      </c>
      <c r="I132" s="17">
        <v>2</v>
      </c>
      <c r="J132" s="39">
        <f t="shared" si="12"/>
        <v>5.4</v>
      </c>
      <c r="K132" s="40">
        <f t="shared" si="13"/>
        <v>-2</v>
      </c>
    </row>
    <row r="133" spans="1:11" x14ac:dyDescent="0.35">
      <c r="A133" s="62"/>
      <c r="B133" s="15"/>
      <c r="C133" s="15"/>
      <c r="D133" s="15"/>
      <c r="E133" s="15"/>
      <c r="F133" s="34" t="s">
        <v>113</v>
      </c>
      <c r="G133" s="35" t="e">
        <f>#REF!</f>
        <v>#REF!</v>
      </c>
      <c r="H133" s="36">
        <v>2.33</v>
      </c>
      <c r="I133" s="17">
        <v>10</v>
      </c>
      <c r="J133" s="39">
        <v>0</v>
      </c>
      <c r="K133" s="40">
        <f t="shared" si="13"/>
        <v>-10</v>
      </c>
    </row>
    <row r="134" spans="1:11" ht="20.149999999999999" customHeight="1" x14ac:dyDescent="0.35">
      <c r="A134" s="62"/>
      <c r="B134" s="15"/>
      <c r="C134" s="15"/>
      <c r="D134" s="15"/>
      <c r="E134" s="15"/>
      <c r="F134" s="34" t="s">
        <v>72</v>
      </c>
      <c r="G134" s="35" t="e">
        <f>#REF!</f>
        <v>#REF!</v>
      </c>
      <c r="H134" s="36">
        <v>3.24</v>
      </c>
      <c r="I134" s="17">
        <v>12</v>
      </c>
      <c r="J134" s="39">
        <f>I134*H134</f>
        <v>38.880000000000003</v>
      </c>
      <c r="K134" s="40">
        <f t="shared" si="13"/>
        <v>-12</v>
      </c>
    </row>
    <row r="135" spans="1:11" ht="15" thickBot="1" x14ac:dyDescent="0.4">
      <c r="A135" s="62"/>
      <c r="B135" s="18"/>
      <c r="C135" s="18"/>
      <c r="D135" s="18"/>
      <c r="E135" s="18"/>
      <c r="F135" s="41" t="s">
        <v>112</v>
      </c>
      <c r="G135" s="42" t="e">
        <f>#REF!</f>
        <v>#REF!</v>
      </c>
      <c r="H135" s="43">
        <v>2.41</v>
      </c>
      <c r="I135" s="29">
        <v>0</v>
      </c>
      <c r="J135" s="44">
        <f>I135*H135</f>
        <v>0</v>
      </c>
      <c r="K135" s="45">
        <f t="shared" si="13"/>
        <v>0</v>
      </c>
    </row>
    <row r="136" spans="1:11" ht="15" customHeight="1" thickBot="1" x14ac:dyDescent="0.6">
      <c r="A136" s="84" t="s">
        <v>9</v>
      </c>
      <c r="B136" s="85"/>
      <c r="C136" s="85"/>
      <c r="D136" s="85"/>
      <c r="E136" s="85"/>
      <c r="F136" s="85"/>
      <c r="G136" s="85"/>
      <c r="H136" s="85"/>
      <c r="I136" s="86"/>
      <c r="J136" s="87">
        <v>1757.8899999999999</v>
      </c>
      <c r="K136" s="88"/>
    </row>
    <row r="137" spans="1:11" ht="24" thickBot="1" x14ac:dyDescent="0.6">
      <c r="A137" s="84" t="s">
        <v>21</v>
      </c>
      <c r="B137" s="85"/>
      <c r="C137" s="85"/>
      <c r="D137" s="85"/>
      <c r="E137" s="85"/>
      <c r="F137" s="85"/>
      <c r="G137" s="85"/>
      <c r="H137" s="85"/>
      <c r="I137" s="86"/>
      <c r="J137" s="89">
        <v>0</v>
      </c>
      <c r="K137" s="90"/>
    </row>
    <row r="138" spans="1:11" ht="24" thickBot="1" x14ac:dyDescent="0.6">
      <c r="A138" s="84" t="s">
        <v>55</v>
      </c>
      <c r="B138" s="85"/>
      <c r="C138" s="85"/>
      <c r="D138" s="85"/>
      <c r="E138" s="85"/>
      <c r="F138" s="85"/>
      <c r="G138" s="85"/>
      <c r="H138" s="85"/>
      <c r="I138" s="86"/>
      <c r="J138" s="89">
        <v>0</v>
      </c>
      <c r="K138" s="90"/>
    </row>
    <row r="139" spans="1:11" ht="24" thickBot="1" x14ac:dyDescent="0.6">
      <c r="A139" s="84" t="s">
        <v>11</v>
      </c>
      <c r="B139" s="85"/>
      <c r="C139" s="85"/>
      <c r="D139" s="85"/>
      <c r="E139" s="85"/>
      <c r="F139" s="85"/>
      <c r="G139" s="85"/>
      <c r="H139" s="85"/>
      <c r="I139" s="86"/>
      <c r="J139" s="87">
        <f>SUM(J110:J135)</f>
        <v>745.2399999999999</v>
      </c>
      <c r="K139" s="88"/>
    </row>
    <row r="140" spans="1:11" ht="20.149999999999999" customHeight="1" thickBot="1" x14ac:dyDescent="0.6">
      <c r="A140" s="84" t="s">
        <v>22</v>
      </c>
      <c r="B140" s="85"/>
      <c r="C140" s="85"/>
      <c r="D140" s="85"/>
      <c r="E140" s="85"/>
      <c r="F140" s="85"/>
      <c r="G140" s="85"/>
      <c r="H140" s="85"/>
      <c r="I140" s="86"/>
      <c r="J140" s="89">
        <v>1739.25</v>
      </c>
      <c r="K140" s="90"/>
    </row>
    <row r="141" spans="1:11" ht="20.149999999999999" customHeight="1" thickBot="1" x14ac:dyDescent="0.6">
      <c r="A141" s="84" t="s">
        <v>23</v>
      </c>
      <c r="B141" s="85"/>
      <c r="C141" s="85"/>
      <c r="D141" s="85"/>
      <c r="E141" s="85"/>
      <c r="F141" s="85"/>
      <c r="G141" s="85"/>
      <c r="H141" s="85"/>
      <c r="I141" s="86"/>
      <c r="J141" s="87">
        <f>J136+J137+J138-J139</f>
        <v>1012.65</v>
      </c>
      <c r="K141" s="88"/>
    </row>
    <row r="142" spans="1:11" ht="20.149999999999999" customHeight="1" thickBot="1" x14ac:dyDescent="0.6">
      <c r="A142" s="109" t="s">
        <v>24</v>
      </c>
      <c r="B142" s="110"/>
      <c r="C142" s="110"/>
      <c r="D142" s="110"/>
      <c r="E142" s="110"/>
      <c r="F142" s="110"/>
      <c r="G142" s="110"/>
      <c r="H142" s="110"/>
      <c r="I142" s="111"/>
      <c r="J142" s="112">
        <f>J141/J140</f>
        <v>0.58223372143165153</v>
      </c>
      <c r="K142" s="113"/>
    </row>
    <row r="143" spans="1:11" ht="20.149999999999999" customHeight="1" thickBot="1" x14ac:dyDescent="0.6">
      <c r="A143" s="109" t="s">
        <v>56</v>
      </c>
      <c r="B143" s="110"/>
      <c r="C143" s="110"/>
      <c r="D143" s="110"/>
      <c r="E143" s="110"/>
      <c r="F143" s="110"/>
      <c r="G143" s="110"/>
      <c r="H143" s="110"/>
      <c r="I143" s="111"/>
      <c r="J143" s="112">
        <f>((G224+G225+G227-J139)/G226)</f>
        <v>0.58223372143165153</v>
      </c>
      <c r="K143" s="113"/>
    </row>
    <row r="144" spans="1:11" ht="20.149999999999999" customHeight="1" x14ac:dyDescent="0.35">
      <c r="A144" s="145" t="s">
        <v>0</v>
      </c>
      <c r="B144" s="147" t="s">
        <v>1</v>
      </c>
      <c r="C144" s="148"/>
      <c r="D144" s="148"/>
      <c r="E144" s="149"/>
      <c r="F144" s="102" t="s">
        <v>2</v>
      </c>
      <c r="G144" s="120" t="s">
        <v>66</v>
      </c>
      <c r="H144" s="102" t="s">
        <v>4</v>
      </c>
      <c r="I144" s="102" t="s">
        <v>5</v>
      </c>
      <c r="J144" s="102" t="s">
        <v>6</v>
      </c>
      <c r="K144" s="104" t="s">
        <v>7</v>
      </c>
    </row>
    <row r="145" spans="1:11" ht="20.149999999999999" customHeight="1" x14ac:dyDescent="0.35">
      <c r="A145" s="146"/>
      <c r="B145" s="27">
        <v>1</v>
      </c>
      <c r="C145" s="27">
        <v>2</v>
      </c>
      <c r="D145" s="27">
        <v>3</v>
      </c>
      <c r="E145" s="27">
        <v>4</v>
      </c>
      <c r="F145" s="103"/>
      <c r="G145" s="121"/>
      <c r="H145" s="103"/>
      <c r="I145" s="103"/>
      <c r="J145" s="103"/>
      <c r="K145" s="105"/>
    </row>
    <row r="146" spans="1:11" ht="20.149999999999999" customHeight="1" x14ac:dyDescent="0.55000000000000004">
      <c r="A146" s="106" t="s">
        <v>61</v>
      </c>
      <c r="B146" s="107"/>
      <c r="C146" s="107"/>
      <c r="D146" s="107"/>
      <c r="E146" s="107"/>
      <c r="F146" s="107"/>
      <c r="G146" s="107"/>
      <c r="H146" s="107"/>
      <c r="I146" s="107"/>
      <c r="J146" s="107"/>
      <c r="K146" s="108"/>
    </row>
    <row r="147" spans="1:11" ht="20.149999999999999" customHeight="1" x14ac:dyDescent="0.35">
      <c r="A147" s="62"/>
      <c r="B147" s="14"/>
      <c r="C147" s="14"/>
      <c r="D147" s="14"/>
      <c r="E147" s="14"/>
      <c r="F147" s="34" t="s">
        <v>121</v>
      </c>
      <c r="G147" s="35" t="e">
        <f>#REF!</f>
        <v>#REF!</v>
      </c>
      <c r="H147" s="36"/>
      <c r="I147" s="28">
        <v>0</v>
      </c>
      <c r="J147" s="39" t="e">
        <f>(I147/G147)*H147</f>
        <v>#REF!</v>
      </c>
      <c r="K147" s="40">
        <f>(SUM(A147:E147))-I147</f>
        <v>0</v>
      </c>
    </row>
    <row r="148" spans="1:11" x14ac:dyDescent="0.35">
      <c r="A148" s="30"/>
      <c r="B148" s="14"/>
      <c r="C148" s="14"/>
      <c r="D148" s="14"/>
      <c r="E148" s="14"/>
      <c r="F148" s="34" t="s">
        <v>116</v>
      </c>
      <c r="G148" s="35">
        <v>179.99</v>
      </c>
      <c r="H148" s="36"/>
      <c r="I148" s="28">
        <v>0</v>
      </c>
      <c r="J148" s="39">
        <f>(I148/G148)*H148</f>
        <v>0</v>
      </c>
      <c r="K148" s="40">
        <f>(SUM(A148:E148))-I148</f>
        <v>0</v>
      </c>
    </row>
    <row r="149" spans="1:11" x14ac:dyDescent="0.35">
      <c r="A149" s="30"/>
      <c r="B149" s="14"/>
      <c r="C149" s="14"/>
      <c r="D149" s="14"/>
      <c r="E149" s="14"/>
      <c r="F149" s="34" t="s">
        <v>20</v>
      </c>
      <c r="G149" s="35" t="e">
        <f>#REF!</f>
        <v>#REF!</v>
      </c>
      <c r="H149" s="36"/>
      <c r="I149" s="28">
        <v>0</v>
      </c>
      <c r="J149" s="39" t="e">
        <f>(I149/G149)*H149</f>
        <v>#REF!</v>
      </c>
      <c r="K149" s="40">
        <f>(SUM(A149:E149))-I149</f>
        <v>0</v>
      </c>
    </row>
    <row r="150" spans="1:11" ht="15" thickBot="1" x14ac:dyDescent="0.4">
      <c r="A150" s="30"/>
      <c r="B150" s="14"/>
      <c r="C150" s="14"/>
      <c r="D150" s="14"/>
      <c r="E150" s="14"/>
      <c r="F150" s="34" t="e">
        <f>#REF!</f>
        <v>#REF!</v>
      </c>
      <c r="G150" s="35" t="e">
        <f>#REF!</f>
        <v>#REF!</v>
      </c>
      <c r="H150" s="36" t="e">
        <f>#REF!</f>
        <v>#REF!</v>
      </c>
      <c r="I150" s="28">
        <v>0</v>
      </c>
      <c r="J150" s="39" t="e">
        <f>(I150/G150)*H150</f>
        <v>#REF!</v>
      </c>
      <c r="K150" s="40">
        <f>(SUM(A150:E150))-I150</f>
        <v>0</v>
      </c>
    </row>
    <row r="151" spans="1:11" ht="15" customHeight="1" thickBot="1" x14ac:dyDescent="0.6">
      <c r="A151" s="84" t="s">
        <v>9</v>
      </c>
      <c r="B151" s="85"/>
      <c r="C151" s="85"/>
      <c r="D151" s="85"/>
      <c r="E151" s="85"/>
      <c r="F151" s="85"/>
      <c r="G151" s="85"/>
      <c r="H151" s="85"/>
      <c r="I151" s="86"/>
      <c r="J151" s="87">
        <v>436.28818840579714</v>
      </c>
      <c r="K151" s="88"/>
    </row>
    <row r="152" spans="1:11" ht="24" thickBot="1" x14ac:dyDescent="0.6">
      <c r="A152" s="84" t="s">
        <v>62</v>
      </c>
      <c r="B152" s="85"/>
      <c r="C152" s="85"/>
      <c r="D152" s="85"/>
      <c r="E152" s="85"/>
      <c r="F152" s="85"/>
      <c r="G152" s="85"/>
      <c r="H152" s="85"/>
      <c r="I152" s="86"/>
      <c r="J152" s="89">
        <v>0</v>
      </c>
      <c r="K152" s="90"/>
    </row>
    <row r="153" spans="1:11" ht="15" customHeight="1" thickBot="1" x14ac:dyDescent="0.6">
      <c r="A153" s="84" t="s">
        <v>55</v>
      </c>
      <c r="B153" s="85"/>
      <c r="C153" s="85"/>
      <c r="D153" s="85"/>
      <c r="E153" s="85"/>
      <c r="F153" s="85"/>
      <c r="G153" s="85"/>
      <c r="H153" s="85"/>
      <c r="I153" s="86"/>
      <c r="J153" s="89">
        <v>0</v>
      </c>
      <c r="K153" s="90"/>
    </row>
    <row r="154" spans="1:11" ht="24" thickBot="1" x14ac:dyDescent="0.6">
      <c r="A154" s="84" t="s">
        <v>11</v>
      </c>
      <c r="B154" s="85"/>
      <c r="C154" s="85"/>
      <c r="D154" s="85"/>
      <c r="E154" s="85"/>
      <c r="F154" s="85"/>
      <c r="G154" s="85"/>
      <c r="H154" s="85"/>
      <c r="I154" s="86"/>
      <c r="J154" s="87" t="e">
        <f>J147+J148+J149</f>
        <v>#REF!</v>
      </c>
      <c r="K154" s="88"/>
    </row>
    <row r="155" spans="1:11" ht="24" thickBot="1" x14ac:dyDescent="0.6">
      <c r="A155" s="84" t="s">
        <v>63</v>
      </c>
      <c r="B155" s="85"/>
      <c r="C155" s="85"/>
      <c r="D155" s="85"/>
      <c r="E155" s="85"/>
      <c r="F155" s="85"/>
      <c r="G155" s="85"/>
      <c r="H155" s="85"/>
      <c r="I155" s="86"/>
      <c r="J155" s="89">
        <v>599.5</v>
      </c>
      <c r="K155" s="90"/>
    </row>
    <row r="156" spans="1:11" ht="24" thickBot="1" x14ac:dyDescent="0.6">
      <c r="A156" s="84" t="s">
        <v>64</v>
      </c>
      <c r="B156" s="85"/>
      <c r="C156" s="85"/>
      <c r="D156" s="85"/>
      <c r="E156" s="85"/>
      <c r="F156" s="85"/>
      <c r="G156" s="85"/>
      <c r="H156" s="85"/>
      <c r="I156" s="86"/>
      <c r="J156" s="87" t="e">
        <f>J151+J152+J153-J154</f>
        <v>#REF!</v>
      </c>
      <c r="K156" s="88"/>
    </row>
    <row r="157" spans="1:11" ht="24" thickBot="1" x14ac:dyDescent="0.6">
      <c r="A157" s="109" t="s">
        <v>65</v>
      </c>
      <c r="B157" s="110"/>
      <c r="C157" s="110"/>
      <c r="D157" s="110"/>
      <c r="E157" s="110"/>
      <c r="F157" s="110"/>
      <c r="G157" s="110"/>
      <c r="H157" s="110"/>
      <c r="I157" s="111"/>
      <c r="J157" s="112" t="e">
        <f>J156/J155</f>
        <v>#REF!</v>
      </c>
      <c r="K157" s="113"/>
    </row>
    <row r="158" spans="1:11" ht="24" thickBot="1" x14ac:dyDescent="0.6">
      <c r="A158" s="109" t="s">
        <v>56</v>
      </c>
      <c r="B158" s="110"/>
      <c r="C158" s="110"/>
      <c r="D158" s="110"/>
      <c r="E158" s="110"/>
      <c r="F158" s="110"/>
      <c r="G158" s="110"/>
      <c r="H158" s="110"/>
      <c r="I158" s="111"/>
      <c r="J158" s="112">
        <f>((G224+G225+G227-J139)/G226)</f>
        <v>0.58223372143165153</v>
      </c>
      <c r="K158" s="113"/>
    </row>
    <row r="159" spans="1:11" x14ac:dyDescent="0.35">
      <c r="A159" s="145" t="s">
        <v>0</v>
      </c>
      <c r="B159" s="147" t="s">
        <v>1</v>
      </c>
      <c r="C159" s="148"/>
      <c r="D159" s="148"/>
      <c r="E159" s="149"/>
      <c r="F159" s="102" t="s">
        <v>2</v>
      </c>
      <c r="G159" s="120" t="s">
        <v>53</v>
      </c>
      <c r="H159" s="102" t="s">
        <v>4</v>
      </c>
      <c r="I159" s="102" t="s">
        <v>5</v>
      </c>
      <c r="J159" s="102" t="s">
        <v>6</v>
      </c>
      <c r="K159" s="104" t="s">
        <v>7</v>
      </c>
    </row>
    <row r="160" spans="1:11" ht="15" thickBot="1" x14ac:dyDescent="0.4">
      <c r="A160" s="158"/>
      <c r="B160" s="27">
        <v>1</v>
      </c>
      <c r="C160" s="27">
        <v>2</v>
      </c>
      <c r="D160" s="27">
        <v>3</v>
      </c>
      <c r="E160" s="27">
        <v>4</v>
      </c>
      <c r="F160" s="150"/>
      <c r="G160" s="159"/>
      <c r="H160" s="150"/>
      <c r="I160" s="150"/>
      <c r="J160" s="150"/>
      <c r="K160" s="151"/>
    </row>
    <row r="161" spans="1:11" ht="24" thickBot="1" x14ac:dyDescent="0.6">
      <c r="A161" s="152" t="s">
        <v>25</v>
      </c>
      <c r="B161" s="153"/>
      <c r="C161" s="153"/>
      <c r="D161" s="153"/>
      <c r="E161" s="153"/>
      <c r="F161" s="153"/>
      <c r="G161" s="153"/>
      <c r="H161" s="153"/>
      <c r="I161" s="153"/>
      <c r="J161" s="153"/>
      <c r="K161" s="154"/>
    </row>
    <row r="162" spans="1:11" x14ac:dyDescent="0.35">
      <c r="A162" s="17"/>
      <c r="B162" s="14"/>
      <c r="C162" s="14"/>
      <c r="D162" s="14"/>
      <c r="E162" s="14"/>
      <c r="F162" s="34" t="s">
        <v>174</v>
      </c>
      <c r="G162" s="35">
        <v>147</v>
      </c>
      <c r="H162" s="36"/>
      <c r="I162" s="28"/>
      <c r="J162" s="37">
        <f>IF(G162=0,0,(I162/G162)*H162)</f>
        <v>0</v>
      </c>
      <c r="K162" s="38">
        <f>IF(G162=0,0,(((SUM(A162:E162)/G162)-(I162/G162))*26))</f>
        <v>0</v>
      </c>
    </row>
    <row r="163" spans="1:11" x14ac:dyDescent="0.35">
      <c r="A163" s="17"/>
      <c r="B163" s="15"/>
      <c r="C163" s="15"/>
      <c r="D163" s="15"/>
      <c r="E163" s="15"/>
      <c r="F163" s="34" t="s">
        <v>197</v>
      </c>
      <c r="G163" s="35" t="e">
        <f>#REF!</f>
        <v>#REF!</v>
      </c>
      <c r="H163" s="36"/>
      <c r="I163" s="17"/>
      <c r="J163" s="37" t="e">
        <f t="shared" ref="J163:J180" si="14">IF(G163=0,0,(I163/G163)*H163)</f>
        <v>#REF!</v>
      </c>
      <c r="K163" s="38" t="e">
        <f>IF(G163=0,0,(((SUM(A163:E163)/G163)-(I163/G163))*52))</f>
        <v>#REF!</v>
      </c>
    </row>
    <row r="164" spans="1:11" x14ac:dyDescent="0.35">
      <c r="A164" s="17"/>
      <c r="B164" s="15"/>
      <c r="C164" s="15"/>
      <c r="D164" s="15"/>
      <c r="E164" s="15"/>
      <c r="F164" s="34" t="s">
        <v>199</v>
      </c>
      <c r="G164" s="35" t="e">
        <f>#REF!</f>
        <v>#REF!</v>
      </c>
      <c r="H164" s="36"/>
      <c r="I164" s="17"/>
      <c r="J164" s="37" t="e">
        <f t="shared" si="14"/>
        <v>#REF!</v>
      </c>
      <c r="K164" s="38" t="e">
        <f t="shared" ref="K164:K170" si="15">IF(G164=0,0,(((SUM(A164:E164)/G164)-(I164/G164))*26))</f>
        <v>#REF!</v>
      </c>
    </row>
    <row r="165" spans="1:11" x14ac:dyDescent="0.35">
      <c r="A165" s="17"/>
      <c r="B165" s="15"/>
      <c r="C165" s="15"/>
      <c r="D165" s="15"/>
      <c r="E165" s="15"/>
      <c r="F165" s="34" t="s">
        <v>201</v>
      </c>
      <c r="G165" s="35" t="e">
        <f>#REF!</f>
        <v>#REF!</v>
      </c>
      <c r="H165" s="36"/>
      <c r="I165" s="17"/>
      <c r="J165" s="37" t="e">
        <f t="shared" si="14"/>
        <v>#REF!</v>
      </c>
      <c r="K165" s="38" t="e">
        <f>IF(G165=0,0,(((SUM(A165:E165)/G165)-(I165/G165))*52))</f>
        <v>#REF!</v>
      </c>
    </row>
    <row r="166" spans="1:11" x14ac:dyDescent="0.35">
      <c r="A166" s="29"/>
      <c r="B166" s="18"/>
      <c r="C166" s="18"/>
      <c r="D166" s="18"/>
      <c r="E166" s="18"/>
      <c r="F166" s="34" t="s">
        <v>202</v>
      </c>
      <c r="G166" s="35" t="e">
        <f>#REF!</f>
        <v>#REF!</v>
      </c>
      <c r="H166" s="36"/>
      <c r="I166" s="29"/>
      <c r="J166" s="37" t="e">
        <f t="shared" si="14"/>
        <v>#REF!</v>
      </c>
      <c r="K166" s="38" t="e">
        <f t="shared" si="15"/>
        <v>#REF!</v>
      </c>
    </row>
    <row r="167" spans="1:11" x14ac:dyDescent="0.35">
      <c r="A167" s="29"/>
      <c r="B167" s="18"/>
      <c r="C167" s="18"/>
      <c r="D167" s="18"/>
      <c r="E167" s="18"/>
      <c r="F167" s="34" t="s">
        <v>198</v>
      </c>
      <c r="G167" s="35" t="e">
        <f>#REF!</f>
        <v>#REF!</v>
      </c>
      <c r="H167" s="36"/>
      <c r="I167" s="29"/>
      <c r="J167" s="37" t="e">
        <f t="shared" si="14"/>
        <v>#REF!</v>
      </c>
      <c r="K167" s="38" t="e">
        <f>IF(G167=0,0,(((SUM(A167:E167)/G167)-(I167/G167))*52))</f>
        <v>#REF!</v>
      </c>
    </row>
    <row r="168" spans="1:11" x14ac:dyDescent="0.35">
      <c r="A168" s="29"/>
      <c r="B168" s="18"/>
      <c r="C168" s="18"/>
      <c r="D168" s="18"/>
      <c r="E168" s="18"/>
      <c r="F168" s="34" t="s">
        <v>200</v>
      </c>
      <c r="G168" s="35" t="e">
        <f>#REF!</f>
        <v>#REF!</v>
      </c>
      <c r="H168" s="36"/>
      <c r="I168" s="29"/>
      <c r="J168" s="37" t="e">
        <f t="shared" si="14"/>
        <v>#REF!</v>
      </c>
      <c r="K168" s="38" t="e">
        <f t="shared" si="15"/>
        <v>#REF!</v>
      </c>
    </row>
    <row r="169" spans="1:11" x14ac:dyDescent="0.35">
      <c r="A169" s="29"/>
      <c r="B169" s="18"/>
      <c r="C169" s="18"/>
      <c r="D169" s="18"/>
      <c r="E169" s="18"/>
      <c r="F169" s="34" t="s">
        <v>206</v>
      </c>
      <c r="G169" s="35" t="e">
        <f>#REF!</f>
        <v>#REF!</v>
      </c>
      <c r="H169" s="36"/>
      <c r="I169" s="29"/>
      <c r="J169" s="37" t="e">
        <f t="shared" si="14"/>
        <v>#REF!</v>
      </c>
      <c r="K169" s="38" t="e">
        <f>IF(G169=0,0,(((SUM(A169:E169)/G169)-(I169/G169))*52))</f>
        <v>#REF!</v>
      </c>
    </row>
    <row r="170" spans="1:11" x14ac:dyDescent="0.35">
      <c r="A170" s="29"/>
      <c r="B170" s="18"/>
      <c r="C170" s="18"/>
      <c r="D170" s="18"/>
      <c r="E170" s="18"/>
      <c r="F170" s="34" t="s">
        <v>207</v>
      </c>
      <c r="G170" s="35" t="e">
        <f>#REF!</f>
        <v>#REF!</v>
      </c>
      <c r="H170" s="36"/>
      <c r="I170" s="29"/>
      <c r="J170" s="37" t="e">
        <f t="shared" si="14"/>
        <v>#REF!</v>
      </c>
      <c r="K170" s="38" t="e">
        <f t="shared" si="15"/>
        <v>#REF!</v>
      </c>
    </row>
    <row r="171" spans="1:11" x14ac:dyDescent="0.35">
      <c r="A171" s="29"/>
      <c r="B171" s="18"/>
      <c r="C171" s="18"/>
      <c r="D171" s="18"/>
      <c r="E171" s="18"/>
      <c r="F171" s="34" t="s">
        <v>211</v>
      </c>
      <c r="G171" s="35"/>
      <c r="H171" s="36"/>
      <c r="I171" s="29"/>
      <c r="J171" s="37">
        <f t="shared" si="14"/>
        <v>0</v>
      </c>
      <c r="K171" s="38">
        <f>IF(G171=0,0,(((SUM(A171:E171)/G171)-(I171/G171))*52))</f>
        <v>0</v>
      </c>
    </row>
    <row r="172" spans="1:11" x14ac:dyDescent="0.35">
      <c r="A172" s="29"/>
      <c r="B172" s="18"/>
      <c r="C172" s="18"/>
      <c r="D172" s="18"/>
      <c r="E172" s="18"/>
      <c r="F172" s="34" t="s">
        <v>212</v>
      </c>
      <c r="G172" s="35">
        <v>40.950000000000003</v>
      </c>
      <c r="H172" s="36"/>
      <c r="I172" s="29"/>
      <c r="J172" s="37">
        <f t="shared" si="14"/>
        <v>0</v>
      </c>
      <c r="K172" s="38">
        <f t="shared" ref="K172:K180" si="16">IF(G172=0,0,(((SUM(A172:E172)/G172)-(I172/G172))*52))</f>
        <v>0</v>
      </c>
    </row>
    <row r="173" spans="1:11" x14ac:dyDescent="0.35">
      <c r="A173" s="29"/>
      <c r="B173" s="18"/>
      <c r="C173" s="18"/>
      <c r="D173" s="18"/>
      <c r="E173" s="18"/>
      <c r="F173" s="34" t="s">
        <v>211</v>
      </c>
      <c r="G173" s="35">
        <v>40.950000000000003</v>
      </c>
      <c r="H173" s="36"/>
      <c r="I173" s="29"/>
      <c r="J173" s="37">
        <f t="shared" si="14"/>
        <v>0</v>
      </c>
      <c r="K173" s="38">
        <f t="shared" si="16"/>
        <v>0</v>
      </c>
    </row>
    <row r="174" spans="1:11" x14ac:dyDescent="0.35">
      <c r="A174" s="29"/>
      <c r="B174" s="18"/>
      <c r="C174" s="18"/>
      <c r="D174" s="18"/>
      <c r="E174" s="18"/>
      <c r="F174" s="34"/>
      <c r="G174" s="35" t="e">
        <f>#REF!</f>
        <v>#REF!</v>
      </c>
      <c r="H174" s="36"/>
      <c r="I174" s="29"/>
      <c r="J174" s="37" t="e">
        <f t="shared" si="14"/>
        <v>#REF!</v>
      </c>
      <c r="K174" s="38" t="e">
        <f t="shared" si="16"/>
        <v>#REF!</v>
      </c>
    </row>
    <row r="175" spans="1:11" ht="24" customHeight="1" x14ac:dyDescent="0.35">
      <c r="A175" s="29"/>
      <c r="B175" s="18"/>
      <c r="C175" s="18"/>
      <c r="D175" s="18"/>
      <c r="E175" s="18"/>
      <c r="F175" s="34" t="e">
        <f>#REF!</f>
        <v>#REF!</v>
      </c>
      <c r="G175" s="35" t="e">
        <f>#REF!</f>
        <v>#REF!</v>
      </c>
      <c r="H175" s="36"/>
      <c r="I175" s="29"/>
      <c r="J175" s="37" t="e">
        <f t="shared" si="14"/>
        <v>#REF!</v>
      </c>
      <c r="K175" s="38" t="e">
        <f t="shared" si="16"/>
        <v>#REF!</v>
      </c>
    </row>
    <row r="176" spans="1:11" ht="19.5" customHeight="1" x14ac:dyDescent="0.35">
      <c r="A176" s="29"/>
      <c r="B176" s="18"/>
      <c r="C176" s="18"/>
      <c r="D176" s="18"/>
      <c r="E176" s="18"/>
      <c r="F176" s="34" t="e">
        <f>#REF!</f>
        <v>#REF!</v>
      </c>
      <c r="G176" s="35" t="e">
        <f>#REF!</f>
        <v>#REF!</v>
      </c>
      <c r="H176" s="36"/>
      <c r="I176" s="29"/>
      <c r="J176" s="37" t="e">
        <f t="shared" si="14"/>
        <v>#REF!</v>
      </c>
      <c r="K176" s="38" t="e">
        <f t="shared" si="16"/>
        <v>#REF!</v>
      </c>
    </row>
    <row r="177" spans="1:11" ht="19.5" customHeight="1" x14ac:dyDescent="0.35">
      <c r="A177" s="29"/>
      <c r="B177" s="18"/>
      <c r="C177" s="18"/>
      <c r="D177" s="18"/>
      <c r="E177" s="18"/>
      <c r="F177" s="34"/>
      <c r="G177" s="35" t="e">
        <f>#REF!</f>
        <v>#REF!</v>
      </c>
      <c r="H177" s="36" t="e">
        <f>#REF!</f>
        <v>#REF!</v>
      </c>
      <c r="I177" s="29"/>
      <c r="J177" s="37" t="e">
        <f t="shared" si="14"/>
        <v>#REF!</v>
      </c>
      <c r="K177" s="38" t="e">
        <f t="shared" si="16"/>
        <v>#REF!</v>
      </c>
    </row>
    <row r="178" spans="1:11" ht="19.5" customHeight="1" x14ac:dyDescent="0.35">
      <c r="A178" s="29"/>
      <c r="B178" s="18"/>
      <c r="C178" s="18"/>
      <c r="D178" s="18"/>
      <c r="E178" s="18"/>
      <c r="F178" s="34"/>
      <c r="G178" s="35" t="e">
        <f>#REF!</f>
        <v>#REF!</v>
      </c>
      <c r="H178" s="36" t="e">
        <f>#REF!</f>
        <v>#REF!</v>
      </c>
      <c r="I178" s="29"/>
      <c r="J178" s="37" t="e">
        <f t="shared" si="14"/>
        <v>#REF!</v>
      </c>
      <c r="K178" s="38" t="e">
        <f t="shared" si="16"/>
        <v>#REF!</v>
      </c>
    </row>
    <row r="179" spans="1:11" ht="19.5" customHeight="1" x14ac:dyDescent="0.35">
      <c r="A179" s="29"/>
      <c r="B179" s="18"/>
      <c r="C179" s="18"/>
      <c r="D179" s="18"/>
      <c r="E179" s="18"/>
      <c r="F179" s="34"/>
      <c r="G179" s="35" t="e">
        <f>#REF!</f>
        <v>#REF!</v>
      </c>
      <c r="H179" s="36" t="e">
        <f>#REF!</f>
        <v>#REF!</v>
      </c>
      <c r="I179" s="29"/>
      <c r="J179" s="37" t="e">
        <f t="shared" si="14"/>
        <v>#REF!</v>
      </c>
      <c r="K179" s="38" t="e">
        <f t="shared" si="16"/>
        <v>#REF!</v>
      </c>
    </row>
    <row r="180" spans="1:11" ht="15" customHeight="1" thickBot="1" x14ac:dyDescent="0.4">
      <c r="A180" s="29"/>
      <c r="B180" s="18"/>
      <c r="C180" s="18"/>
      <c r="D180" s="18"/>
      <c r="E180" s="18"/>
      <c r="F180" s="34"/>
      <c r="G180" s="35" t="e">
        <f>#REF!</f>
        <v>#REF!</v>
      </c>
      <c r="H180" s="36" t="e">
        <f>#REF!</f>
        <v>#REF!</v>
      </c>
      <c r="I180" s="29"/>
      <c r="J180" s="37" t="e">
        <f t="shared" si="14"/>
        <v>#REF!</v>
      </c>
      <c r="K180" s="38" t="e">
        <f t="shared" si="16"/>
        <v>#REF!</v>
      </c>
    </row>
    <row r="181" spans="1:11" ht="15" customHeight="1" thickBot="1" x14ac:dyDescent="0.6">
      <c r="A181" s="155" t="s">
        <v>26</v>
      </c>
      <c r="B181" s="156"/>
      <c r="C181" s="156"/>
      <c r="D181" s="156"/>
      <c r="E181" s="156"/>
      <c r="F181" s="156"/>
      <c r="G181" s="156"/>
      <c r="H181" s="156"/>
      <c r="I181" s="156"/>
      <c r="J181" s="156"/>
      <c r="K181" s="157"/>
    </row>
    <row r="182" spans="1:11" ht="15" customHeight="1" x14ac:dyDescent="0.35">
      <c r="A182" s="24"/>
      <c r="B182" s="52"/>
      <c r="C182" s="52"/>
      <c r="D182" s="52"/>
      <c r="E182" s="52"/>
      <c r="F182" s="66" t="s">
        <v>203</v>
      </c>
      <c r="G182" s="67" t="e">
        <f>#REF!</f>
        <v>#REF!</v>
      </c>
      <c r="H182" s="68"/>
      <c r="I182" s="24"/>
      <c r="J182" s="69" t="e">
        <f>IF(G182=0,0,(I182/G182)*H182)</f>
        <v>#REF!</v>
      </c>
      <c r="K182" s="70" t="e">
        <f>IF(G182=0,0,(((SUM(A182:E182)/G182)-(I182/G182))*26))</f>
        <v>#REF!</v>
      </c>
    </row>
    <row r="183" spans="1:11" ht="15" customHeight="1" x14ac:dyDescent="0.35">
      <c r="A183" s="17"/>
      <c r="B183" s="15"/>
      <c r="C183" s="15"/>
      <c r="D183" s="15"/>
      <c r="E183" s="15"/>
      <c r="F183" s="63" t="s">
        <v>210</v>
      </c>
      <c r="G183" s="64"/>
      <c r="H183" s="65"/>
      <c r="I183" s="17"/>
      <c r="J183" s="39">
        <f t="shared" ref="J183:J198" si="17">IF(G183=0,0,(I183/G183)*H183)</f>
        <v>0</v>
      </c>
      <c r="K183" s="40">
        <f>IF(G183=0,0,(((SUM(A183:E183)/G183)-(I183/G183))*52))</f>
        <v>0</v>
      </c>
    </row>
    <row r="184" spans="1:11" ht="15" customHeight="1" x14ac:dyDescent="0.35">
      <c r="A184" s="17"/>
      <c r="B184" s="15"/>
      <c r="C184" s="15"/>
      <c r="D184" s="15"/>
      <c r="E184" s="15"/>
      <c r="F184" s="63" t="s">
        <v>204</v>
      </c>
      <c r="G184" s="64" t="e">
        <f>#REF!</f>
        <v>#REF!</v>
      </c>
      <c r="H184" s="65"/>
      <c r="I184" s="17"/>
      <c r="J184" s="39" t="e">
        <f t="shared" si="17"/>
        <v>#REF!</v>
      </c>
      <c r="K184" s="40" t="e">
        <f t="shared" ref="K184:K189" si="18">IF(G184=0,0,(((SUM(A184:E184)/G184)-(I184/G184))*26))</f>
        <v>#REF!</v>
      </c>
    </row>
    <row r="185" spans="1:11" ht="15" customHeight="1" x14ac:dyDescent="0.35">
      <c r="A185" s="17"/>
      <c r="B185" s="15"/>
      <c r="C185" s="15"/>
      <c r="D185" s="15"/>
      <c r="E185" s="15"/>
      <c r="F185" s="63" t="s">
        <v>164</v>
      </c>
      <c r="G185" s="64" t="e">
        <f>#REF!</f>
        <v>#REF!</v>
      </c>
      <c r="H185" s="65"/>
      <c r="I185" s="17"/>
      <c r="J185" s="39" t="e">
        <f t="shared" si="17"/>
        <v>#REF!</v>
      </c>
      <c r="K185" s="40" t="e">
        <f>IF(G185=0,0,(((SUM(A185:E185)/G185)-(I185/G185))*52))</f>
        <v>#REF!</v>
      </c>
    </row>
    <row r="186" spans="1:11" ht="15" customHeight="1" x14ac:dyDescent="0.35">
      <c r="A186" s="17"/>
      <c r="B186" s="15"/>
      <c r="C186" s="15"/>
      <c r="D186" s="15"/>
      <c r="E186" s="15"/>
      <c r="F186" s="63" t="s">
        <v>205</v>
      </c>
      <c r="G186" s="64" t="e">
        <f>#REF!</f>
        <v>#REF!</v>
      </c>
      <c r="H186" s="65"/>
      <c r="I186" s="17"/>
      <c r="J186" s="39" t="e">
        <f t="shared" si="17"/>
        <v>#REF!</v>
      </c>
      <c r="K186" s="40" t="e">
        <f>IF(G186=0,0,(((SUM(A186:E186)/G186)-(I186/G186))*52))</f>
        <v>#REF!</v>
      </c>
    </row>
    <row r="187" spans="1:11" ht="15" customHeight="1" x14ac:dyDescent="0.35">
      <c r="A187" s="17"/>
      <c r="B187" s="15"/>
      <c r="C187" s="15"/>
      <c r="D187" s="15"/>
      <c r="E187" s="15"/>
      <c r="F187" s="63" t="s">
        <v>209</v>
      </c>
      <c r="G187" s="64" t="e">
        <f>#REF!</f>
        <v>#REF!</v>
      </c>
      <c r="H187" s="65"/>
      <c r="I187" s="17"/>
      <c r="J187" s="39" t="e">
        <f t="shared" si="17"/>
        <v>#REF!</v>
      </c>
      <c r="K187" s="40" t="e">
        <f t="shared" si="18"/>
        <v>#REF!</v>
      </c>
    </row>
    <row r="188" spans="1:11" ht="20.149999999999999" customHeight="1" x14ac:dyDescent="0.35">
      <c r="A188" s="17"/>
      <c r="B188" s="15"/>
      <c r="C188" s="15"/>
      <c r="D188" s="15"/>
      <c r="E188" s="15"/>
      <c r="F188" s="63" t="s">
        <v>208</v>
      </c>
      <c r="G188" s="64" t="e">
        <f>#REF!</f>
        <v>#REF!</v>
      </c>
      <c r="H188" s="65"/>
      <c r="I188" s="17"/>
      <c r="J188" s="39" t="e">
        <f t="shared" si="17"/>
        <v>#REF!</v>
      </c>
      <c r="K188" s="40" t="e">
        <f>IF(G188=0,0,(((SUM(A188:E188)/G188)-(I188/G188))*52))</f>
        <v>#REF!</v>
      </c>
    </row>
    <row r="189" spans="1:11" ht="20.149999999999999" customHeight="1" x14ac:dyDescent="0.35">
      <c r="A189" s="17"/>
      <c r="B189" s="15"/>
      <c r="C189" s="15"/>
      <c r="D189" s="15"/>
      <c r="E189" s="15"/>
      <c r="F189" s="63"/>
      <c r="G189" s="64" t="e">
        <f>#REF!</f>
        <v>#REF!</v>
      </c>
      <c r="H189" s="65"/>
      <c r="I189" s="17"/>
      <c r="J189" s="39" t="e">
        <f t="shared" si="17"/>
        <v>#REF!</v>
      </c>
      <c r="K189" s="40" t="e">
        <f t="shared" si="18"/>
        <v>#REF!</v>
      </c>
    </row>
    <row r="190" spans="1:11" ht="20.149999999999999" customHeight="1" x14ac:dyDescent="0.35">
      <c r="A190" s="17"/>
      <c r="B190" s="15"/>
      <c r="C190" s="15"/>
      <c r="D190" s="15"/>
      <c r="E190" s="15"/>
      <c r="F190" s="63"/>
      <c r="G190" s="64" t="e">
        <f>#REF!</f>
        <v>#REF!</v>
      </c>
      <c r="H190" s="65"/>
      <c r="I190" s="17"/>
      <c r="J190" s="39" t="e">
        <f t="shared" si="17"/>
        <v>#REF!</v>
      </c>
      <c r="K190" s="40" t="e">
        <f>IF(G190=0,0,(((SUM(A190:E190)/G190)-(I190/G190))*52))</f>
        <v>#REF!</v>
      </c>
    </row>
    <row r="191" spans="1:11" ht="20.149999999999999" customHeight="1" x14ac:dyDescent="0.35">
      <c r="A191" s="17"/>
      <c r="B191" s="15"/>
      <c r="C191" s="15"/>
      <c r="D191" s="15"/>
      <c r="E191" s="15"/>
      <c r="F191" s="34"/>
      <c r="G191" s="64">
        <v>40.950000000000003</v>
      </c>
      <c r="H191" s="65"/>
      <c r="I191" s="17"/>
      <c r="J191" s="39">
        <f t="shared" si="17"/>
        <v>0</v>
      </c>
      <c r="K191" s="40">
        <f t="shared" ref="K191:K198" si="19">IF(G191=0,0,(((SUM(A191:E191)/G191)-(I191/G191))*52))</f>
        <v>0</v>
      </c>
    </row>
    <row r="192" spans="1:11" ht="20.149999999999999" customHeight="1" x14ac:dyDescent="0.35">
      <c r="A192" s="17"/>
      <c r="B192" s="15"/>
      <c r="C192" s="15"/>
      <c r="D192" s="15"/>
      <c r="E192" s="15"/>
      <c r="F192" s="63"/>
      <c r="G192" s="64">
        <v>40.950000000000003</v>
      </c>
      <c r="H192" s="65"/>
      <c r="I192" s="17"/>
      <c r="J192" s="39">
        <f t="shared" si="17"/>
        <v>0</v>
      </c>
      <c r="K192" s="40">
        <f t="shared" si="19"/>
        <v>0</v>
      </c>
    </row>
    <row r="193" spans="1:13" x14ac:dyDescent="0.35">
      <c r="A193" s="17"/>
      <c r="B193" s="15"/>
      <c r="C193" s="15"/>
      <c r="D193" s="15"/>
      <c r="E193" s="15"/>
      <c r="F193" s="63"/>
      <c r="G193" s="64">
        <v>39.4</v>
      </c>
      <c r="H193" s="65"/>
      <c r="I193" s="17"/>
      <c r="J193" s="39">
        <f t="shared" si="17"/>
        <v>0</v>
      </c>
      <c r="K193" s="40">
        <f t="shared" si="19"/>
        <v>0</v>
      </c>
    </row>
    <row r="194" spans="1:13" ht="20.149999999999999" customHeight="1" x14ac:dyDescent="0.35">
      <c r="A194" s="17"/>
      <c r="B194" s="15"/>
      <c r="C194" s="15"/>
      <c r="D194" s="15"/>
      <c r="E194" s="15"/>
      <c r="F194" s="63" t="e">
        <f>#REF!</f>
        <v>#REF!</v>
      </c>
      <c r="G194" s="64" t="e">
        <f>#REF!</f>
        <v>#REF!</v>
      </c>
      <c r="H194" s="65"/>
      <c r="I194" s="17"/>
      <c r="J194" s="39" t="e">
        <f t="shared" si="17"/>
        <v>#REF!</v>
      </c>
      <c r="K194" s="40" t="e">
        <f t="shared" si="19"/>
        <v>#REF!</v>
      </c>
    </row>
    <row r="195" spans="1:13" ht="20.149999999999999" customHeight="1" x14ac:dyDescent="0.35">
      <c r="A195" s="17"/>
      <c r="B195" s="15"/>
      <c r="C195" s="15"/>
      <c r="D195" s="15"/>
      <c r="E195" s="15"/>
      <c r="F195" s="63" t="e">
        <f>#REF!</f>
        <v>#REF!</v>
      </c>
      <c r="G195" s="64" t="e">
        <f>#REF!</f>
        <v>#REF!</v>
      </c>
      <c r="H195" s="65"/>
      <c r="I195" s="17"/>
      <c r="J195" s="39" t="e">
        <f t="shared" si="17"/>
        <v>#REF!</v>
      </c>
      <c r="K195" s="40" t="e">
        <f t="shared" si="19"/>
        <v>#REF!</v>
      </c>
    </row>
    <row r="196" spans="1:13" ht="20.149999999999999" customHeight="1" x14ac:dyDescent="0.35">
      <c r="A196" s="17"/>
      <c r="B196" s="15"/>
      <c r="C196" s="15"/>
      <c r="D196" s="15"/>
      <c r="E196" s="15"/>
      <c r="F196" s="63" t="e">
        <f>#REF!</f>
        <v>#REF!</v>
      </c>
      <c r="G196" s="64" t="e">
        <f>#REF!</f>
        <v>#REF!</v>
      </c>
      <c r="H196" s="65"/>
      <c r="I196" s="17"/>
      <c r="J196" s="39" t="e">
        <f t="shared" si="17"/>
        <v>#REF!</v>
      </c>
      <c r="K196" s="40" t="e">
        <f t="shared" si="19"/>
        <v>#REF!</v>
      </c>
    </row>
    <row r="197" spans="1:13" ht="20.149999999999999" customHeight="1" x14ac:dyDescent="0.35">
      <c r="A197" s="17"/>
      <c r="B197" s="15"/>
      <c r="C197" s="15"/>
      <c r="D197" s="15"/>
      <c r="E197" s="15"/>
      <c r="F197" s="63" t="e">
        <f>#REF!</f>
        <v>#REF!</v>
      </c>
      <c r="G197" s="64" t="e">
        <f>#REF!</f>
        <v>#REF!</v>
      </c>
      <c r="H197" s="65"/>
      <c r="I197" s="17"/>
      <c r="J197" s="39" t="e">
        <f t="shared" si="17"/>
        <v>#REF!</v>
      </c>
      <c r="K197" s="40" t="e">
        <f t="shared" si="19"/>
        <v>#REF!</v>
      </c>
    </row>
    <row r="198" spans="1:13" ht="20.149999999999999" customHeight="1" thickBot="1" x14ac:dyDescent="0.4">
      <c r="A198" s="33"/>
      <c r="B198" s="32"/>
      <c r="C198" s="32"/>
      <c r="D198" s="32"/>
      <c r="E198" s="32"/>
      <c r="F198" s="71" t="e">
        <f>#REF!</f>
        <v>#REF!</v>
      </c>
      <c r="G198" s="72" t="e">
        <f>#REF!</f>
        <v>#REF!</v>
      </c>
      <c r="H198" s="73"/>
      <c r="I198" s="33"/>
      <c r="J198" s="74" t="e">
        <f t="shared" si="17"/>
        <v>#REF!</v>
      </c>
      <c r="K198" s="75" t="e">
        <f t="shared" si="19"/>
        <v>#REF!</v>
      </c>
    </row>
    <row r="199" spans="1:13" ht="20.149999999999999" customHeight="1" thickBot="1" x14ac:dyDescent="0.6">
      <c r="A199" s="109" t="s">
        <v>9</v>
      </c>
      <c r="B199" s="110"/>
      <c r="C199" s="110"/>
      <c r="D199" s="110"/>
      <c r="E199" s="110"/>
      <c r="F199" s="110"/>
      <c r="G199" s="110"/>
      <c r="H199" s="110"/>
      <c r="I199" s="111"/>
      <c r="J199" s="87">
        <v>409.95678002576386</v>
      </c>
      <c r="K199" s="88"/>
    </row>
    <row r="200" spans="1:13" ht="20.149999999999999" customHeight="1" thickBot="1" x14ac:dyDescent="0.6">
      <c r="A200" s="109" t="s">
        <v>27</v>
      </c>
      <c r="B200" s="110"/>
      <c r="C200" s="110"/>
      <c r="D200" s="110"/>
      <c r="E200" s="110"/>
      <c r="F200" s="110"/>
      <c r="G200" s="110"/>
      <c r="H200" s="110"/>
      <c r="I200" s="111"/>
      <c r="J200" s="89">
        <v>0</v>
      </c>
      <c r="K200" s="90"/>
    </row>
    <row r="201" spans="1:13" ht="24" thickBot="1" x14ac:dyDescent="0.6">
      <c r="A201" s="109" t="s">
        <v>55</v>
      </c>
      <c r="B201" s="110"/>
      <c r="C201" s="110"/>
      <c r="D201" s="110"/>
      <c r="E201" s="110"/>
      <c r="F201" s="110"/>
      <c r="G201" s="110"/>
      <c r="H201" s="110"/>
      <c r="I201" s="111"/>
      <c r="J201" s="89">
        <v>0</v>
      </c>
      <c r="K201" s="90"/>
    </row>
    <row r="202" spans="1:13" ht="24" thickBot="1" x14ac:dyDescent="0.6">
      <c r="A202" s="109" t="s">
        <v>11</v>
      </c>
      <c r="B202" s="110"/>
      <c r="C202" s="110"/>
      <c r="D202" s="110"/>
      <c r="E202" s="110"/>
      <c r="F202" s="110"/>
      <c r="G202" s="110"/>
      <c r="H202" s="110"/>
      <c r="I202" s="111"/>
      <c r="J202" s="87" t="e">
        <f>SUM(J162:J173)+SUM(J182:J193)</f>
        <v>#REF!</v>
      </c>
      <c r="K202" s="88"/>
    </row>
    <row r="203" spans="1:13" ht="24" customHeight="1" thickBot="1" x14ac:dyDescent="0.6">
      <c r="A203" s="109" t="s">
        <v>28</v>
      </c>
      <c r="B203" s="110"/>
      <c r="C203" s="110"/>
      <c r="D203" s="110"/>
      <c r="E203" s="110"/>
      <c r="F203" s="110"/>
      <c r="G203" s="110"/>
      <c r="H203" s="110"/>
      <c r="I203" s="111"/>
      <c r="J203" s="165">
        <v>348.25</v>
      </c>
      <c r="K203" s="166"/>
    </row>
    <row r="204" spans="1:13" ht="24" thickBot="1" x14ac:dyDescent="0.6">
      <c r="A204" s="109" t="s">
        <v>29</v>
      </c>
      <c r="B204" s="110"/>
      <c r="C204" s="110"/>
      <c r="D204" s="110"/>
      <c r="E204" s="110"/>
      <c r="F204" s="110"/>
      <c r="G204" s="110"/>
      <c r="H204" s="110"/>
      <c r="I204" s="111"/>
      <c r="J204" s="87" t="e">
        <f>J199+J200+J201-J202</f>
        <v>#REF!</v>
      </c>
      <c r="K204" s="88"/>
    </row>
    <row r="205" spans="1:13" ht="24" thickBot="1" x14ac:dyDescent="0.6">
      <c r="A205" s="109" t="s">
        <v>30</v>
      </c>
      <c r="B205" s="110"/>
      <c r="C205" s="110"/>
      <c r="D205" s="110"/>
      <c r="E205" s="110"/>
      <c r="F205" s="110"/>
      <c r="G205" s="110"/>
      <c r="H205" s="110"/>
      <c r="I205" s="111"/>
      <c r="J205" s="112" t="e">
        <f>J204/J203</f>
        <v>#REF!</v>
      </c>
      <c r="K205" s="113"/>
      <c r="L205" s="3"/>
      <c r="M205" s="2"/>
    </row>
    <row r="206" spans="1:13" ht="24" thickBot="1" x14ac:dyDescent="0.6">
      <c r="A206" s="85" t="s">
        <v>56</v>
      </c>
      <c r="B206" s="85"/>
      <c r="C206" s="85"/>
      <c r="D206" s="85"/>
      <c r="E206" s="85"/>
      <c r="F206" s="85"/>
      <c r="G206" s="85"/>
      <c r="H206" s="85"/>
      <c r="I206" s="86"/>
      <c r="J206" s="112" t="e">
        <f>((H224+H225+H227-J202)/H226)</f>
        <v>#REF!</v>
      </c>
      <c r="K206" s="113"/>
      <c r="L206" s="3"/>
      <c r="M206" s="2"/>
    </row>
    <row r="207" spans="1:13" ht="24" thickBot="1" x14ac:dyDescent="0.6">
      <c r="A207" s="160" t="s">
        <v>31</v>
      </c>
      <c r="B207" s="161"/>
      <c r="C207" s="161"/>
      <c r="D207" s="161"/>
      <c r="E207" s="161"/>
      <c r="F207" s="161"/>
      <c r="G207" s="161"/>
      <c r="H207" s="161"/>
      <c r="I207" s="162"/>
      <c r="J207" s="163">
        <v>4318.1256176473144</v>
      </c>
      <c r="K207" s="164"/>
      <c r="L207" s="3"/>
      <c r="M207" s="2"/>
    </row>
    <row r="208" spans="1:13" ht="24" thickBot="1" x14ac:dyDescent="0.6">
      <c r="A208" s="160" t="s">
        <v>32</v>
      </c>
      <c r="B208" s="161"/>
      <c r="C208" s="161"/>
      <c r="D208" s="161"/>
      <c r="E208" s="161"/>
      <c r="F208" s="161"/>
      <c r="G208" s="161"/>
      <c r="H208" s="161"/>
      <c r="I208" s="162"/>
      <c r="J208" s="163">
        <f>J58+J137+J200+J152</f>
        <v>0</v>
      </c>
      <c r="K208" s="164"/>
      <c r="L208" s="3"/>
      <c r="M208" s="2"/>
    </row>
    <row r="209" spans="1:13" ht="24" thickBot="1" x14ac:dyDescent="0.6">
      <c r="A209" s="160" t="s">
        <v>54</v>
      </c>
      <c r="B209" s="161"/>
      <c r="C209" s="161"/>
      <c r="D209" s="161"/>
      <c r="E209" s="161"/>
      <c r="F209" s="161"/>
      <c r="G209" s="161"/>
      <c r="H209" s="161"/>
      <c r="I209" s="162"/>
      <c r="J209" s="163">
        <f>J59+J138+J201+J153</f>
        <v>0</v>
      </c>
      <c r="K209" s="164"/>
      <c r="L209" s="3"/>
      <c r="M209" s="2"/>
    </row>
    <row r="210" spans="1:13" ht="24" thickBot="1" x14ac:dyDescent="0.6">
      <c r="A210" s="160" t="s">
        <v>33</v>
      </c>
      <c r="B210" s="161"/>
      <c r="C210" s="161"/>
      <c r="D210" s="161"/>
      <c r="E210" s="161"/>
      <c r="F210" s="161"/>
      <c r="G210" s="161"/>
      <c r="H210" s="161"/>
      <c r="I210" s="162"/>
      <c r="J210" s="163" t="e">
        <f>J60+J139+J202+J154</f>
        <v>#DIV/0!</v>
      </c>
      <c r="K210" s="164"/>
      <c r="L210" s="3"/>
      <c r="M210" s="2"/>
    </row>
    <row r="211" spans="1:13" ht="24" thickBot="1" x14ac:dyDescent="0.6">
      <c r="A211" s="160" t="s">
        <v>34</v>
      </c>
      <c r="B211" s="161"/>
      <c r="C211" s="161"/>
      <c r="D211" s="161"/>
      <c r="E211" s="161"/>
      <c r="F211" s="161"/>
      <c r="G211" s="161"/>
      <c r="H211" s="161"/>
      <c r="I211" s="162"/>
      <c r="J211" s="163">
        <f>J61+J140+J203+J155</f>
        <v>2687</v>
      </c>
      <c r="K211" s="164"/>
      <c r="L211" s="3"/>
      <c r="M211" s="2"/>
    </row>
    <row r="212" spans="1:13" ht="24" thickBot="1" x14ac:dyDescent="0.6">
      <c r="A212" s="160" t="s">
        <v>35</v>
      </c>
      <c r="B212" s="161"/>
      <c r="C212" s="161"/>
      <c r="D212" s="161"/>
      <c r="E212" s="161"/>
      <c r="F212" s="161"/>
      <c r="G212" s="161"/>
      <c r="H212" s="161"/>
      <c r="I212" s="162"/>
      <c r="J212" s="163" t="e">
        <f>J207+J208+J209-J210</f>
        <v>#DIV/0!</v>
      </c>
      <c r="K212" s="164"/>
      <c r="L212" s="3"/>
      <c r="M212" s="2"/>
    </row>
    <row r="213" spans="1:13" ht="24" thickBot="1" x14ac:dyDescent="0.6">
      <c r="A213" s="160" t="s">
        <v>36</v>
      </c>
      <c r="B213" s="161"/>
      <c r="C213" s="161"/>
      <c r="D213" s="161"/>
      <c r="E213" s="161"/>
      <c r="F213" s="161"/>
      <c r="G213" s="161"/>
      <c r="H213" s="161"/>
      <c r="I213" s="162"/>
      <c r="J213" s="167" t="e">
        <f>J212/J211</f>
        <v>#DIV/0!</v>
      </c>
      <c r="K213" s="168"/>
      <c r="L213" s="3"/>
      <c r="M213" s="2"/>
    </row>
    <row r="214" spans="1:13" ht="24" thickBot="1" x14ac:dyDescent="0.6">
      <c r="A214" s="169" t="s">
        <v>57</v>
      </c>
      <c r="B214" s="170"/>
      <c r="C214" s="170"/>
      <c r="D214" s="170"/>
      <c r="E214" s="170"/>
      <c r="F214" s="170"/>
      <c r="G214" s="170"/>
      <c r="H214" s="170"/>
      <c r="I214" s="171"/>
      <c r="J214" s="172" t="e">
        <f>((K224+K225+K227-J210))/K226</f>
        <v>#DIV/0!</v>
      </c>
      <c r="K214" s="173"/>
      <c r="L214" s="3"/>
      <c r="M214" s="2"/>
    </row>
    <row r="215" spans="1:13" ht="24" thickBot="1" x14ac:dyDescent="0.6">
      <c r="A215" s="190" t="s">
        <v>37</v>
      </c>
      <c r="B215" s="191"/>
      <c r="C215" s="191"/>
      <c r="D215" s="191"/>
      <c r="E215" s="191"/>
      <c r="F215" s="191"/>
      <c r="G215" s="191"/>
      <c r="H215" s="191"/>
      <c r="I215" s="191"/>
      <c r="J215" s="191"/>
      <c r="K215" s="192"/>
      <c r="L215" s="3"/>
      <c r="M215" s="2"/>
    </row>
    <row r="216" spans="1:13" ht="15" thickBot="1" x14ac:dyDescent="0.4">
      <c r="A216" s="193" t="s">
        <v>8</v>
      </c>
      <c r="B216" s="194"/>
      <c r="C216" s="194"/>
      <c r="D216" s="194"/>
      <c r="E216" s="195"/>
      <c r="F216" s="20" t="s">
        <v>38</v>
      </c>
      <c r="G216" s="19" t="s">
        <v>42</v>
      </c>
      <c r="H216" s="19" t="s">
        <v>43</v>
      </c>
      <c r="I216" s="19" t="s">
        <v>47</v>
      </c>
      <c r="J216" s="21" t="s">
        <v>46</v>
      </c>
      <c r="K216" s="21" t="s">
        <v>71</v>
      </c>
      <c r="L216" s="3"/>
      <c r="M216" s="2"/>
    </row>
    <row r="217" spans="1:13" x14ac:dyDescent="0.35">
      <c r="A217" s="196" t="s">
        <v>39</v>
      </c>
      <c r="B217" s="197"/>
      <c r="C217" s="197"/>
      <c r="D217" s="197"/>
      <c r="E217" s="198"/>
      <c r="F217" s="22">
        <v>70</v>
      </c>
      <c r="G217" s="46" t="s">
        <v>38</v>
      </c>
      <c r="H217" s="23"/>
      <c r="I217" s="24">
        <v>1</v>
      </c>
      <c r="J217" s="24">
        <v>13</v>
      </c>
      <c r="K217" s="25">
        <v>40</v>
      </c>
      <c r="L217" s="3"/>
      <c r="M217" s="2"/>
    </row>
    <row r="218" spans="1:13" ht="15" thickBot="1" x14ac:dyDescent="0.4">
      <c r="A218" s="199" t="s">
        <v>40</v>
      </c>
      <c r="B218" s="200"/>
      <c r="C218" s="200"/>
      <c r="D218" s="200"/>
      <c r="E218" s="201"/>
      <c r="F218" s="26">
        <v>36</v>
      </c>
      <c r="G218" s="47" t="s">
        <v>52</v>
      </c>
      <c r="H218" s="185" t="e">
        <f>(H217*34)+(I217*17)+(J217*8)+(K217*6)-((SUM(K162:K172))+(SUM(K182:K190)))</f>
        <v>#REF!</v>
      </c>
      <c r="I218" s="186"/>
      <c r="J218" s="186"/>
      <c r="K218" s="187"/>
      <c r="L218" s="3"/>
    </row>
    <row r="219" spans="1:13" ht="15" thickBot="1" x14ac:dyDescent="0.4">
      <c r="A219" s="199" t="s">
        <v>41</v>
      </c>
      <c r="B219" s="200"/>
      <c r="C219" s="200"/>
      <c r="D219" s="200"/>
      <c r="E219" s="201"/>
      <c r="F219" s="26">
        <v>0</v>
      </c>
      <c r="G219" s="202" t="s">
        <v>45</v>
      </c>
      <c r="H219" s="203"/>
      <c r="I219" s="203"/>
      <c r="J219" s="203"/>
      <c r="K219" s="204"/>
      <c r="L219" s="3"/>
    </row>
    <row r="220" spans="1:13" x14ac:dyDescent="0.35">
      <c r="A220" s="174" t="s">
        <v>48</v>
      </c>
      <c r="B220" s="175"/>
      <c r="C220" s="175"/>
      <c r="D220" s="175"/>
      <c r="E220" s="176"/>
      <c r="F220" s="180" t="e">
        <f>(F217+(F218*2)+(F219*3))-(SUM(K5:K37))</f>
        <v>#DIV/0!</v>
      </c>
      <c r="G220" s="46" t="s">
        <v>38</v>
      </c>
      <c r="H220" s="182">
        <v>287</v>
      </c>
      <c r="I220" s="183"/>
      <c r="J220" s="183"/>
      <c r="K220" s="184"/>
      <c r="L220" s="3"/>
    </row>
    <row r="221" spans="1:13" ht="15" thickBot="1" x14ac:dyDescent="0.4">
      <c r="A221" s="177"/>
      <c r="B221" s="178"/>
      <c r="C221" s="178"/>
      <c r="D221" s="178"/>
      <c r="E221" s="179"/>
      <c r="F221" s="181"/>
      <c r="G221" s="47" t="s">
        <v>52</v>
      </c>
      <c r="H221" s="185">
        <f>H220-(SUM(K110:K135))</f>
        <v>631</v>
      </c>
      <c r="I221" s="186"/>
      <c r="J221" s="186"/>
      <c r="K221" s="187"/>
      <c r="L221" s="3"/>
    </row>
    <row r="222" spans="1:13" x14ac:dyDescent="0.35">
      <c r="A222" s="188"/>
      <c r="B222" s="188"/>
      <c r="C222" s="188"/>
      <c r="D222" s="188"/>
      <c r="E222" s="188"/>
      <c r="F222" s="10"/>
      <c r="H222" s="189"/>
      <c r="I222" s="189"/>
      <c r="J222" s="189"/>
      <c r="K222" s="189"/>
      <c r="L222" s="3"/>
    </row>
    <row r="223" spans="1:13" x14ac:dyDescent="0.35">
      <c r="A223" s="208"/>
      <c r="B223" s="208"/>
      <c r="C223" s="208"/>
      <c r="D223" s="208"/>
      <c r="E223" s="208"/>
      <c r="F223" s="11" t="s">
        <v>8</v>
      </c>
      <c r="G223" s="11" t="s">
        <v>49</v>
      </c>
      <c r="H223" s="209" t="s">
        <v>50</v>
      </c>
      <c r="I223" s="209"/>
      <c r="J223" t="s">
        <v>61</v>
      </c>
      <c r="K223" t="s">
        <v>51</v>
      </c>
      <c r="L223" s="3"/>
    </row>
    <row r="224" spans="1:13" x14ac:dyDescent="0.35">
      <c r="A224" s="205" t="s">
        <v>9</v>
      </c>
      <c r="B224" s="205"/>
      <c r="C224" s="205"/>
      <c r="D224" s="205"/>
      <c r="E224" s="205"/>
      <c r="F224" s="12">
        <f>J57</f>
        <v>1713.9906492157534</v>
      </c>
      <c r="G224" s="12">
        <f>J136</f>
        <v>1757.8899999999999</v>
      </c>
      <c r="H224" s="206">
        <f>J199</f>
        <v>409.95678002576386</v>
      </c>
      <c r="I224" s="206"/>
      <c r="J224" s="49">
        <f>J151</f>
        <v>436.28818840579714</v>
      </c>
      <c r="K224" s="13">
        <f>SUM(F224:J224)</f>
        <v>4318.1256176473144</v>
      </c>
      <c r="L224" s="3"/>
    </row>
    <row r="225" spans="1:16" x14ac:dyDescent="0.35">
      <c r="A225" s="205" t="s">
        <v>58</v>
      </c>
      <c r="B225" s="205"/>
      <c r="C225" s="205"/>
      <c r="D225" s="205"/>
      <c r="E225" s="205"/>
      <c r="F225" s="12">
        <f>J58</f>
        <v>0</v>
      </c>
      <c r="G225" s="12">
        <f>J137</f>
        <v>0</v>
      </c>
      <c r="H225" s="206">
        <f>J200</f>
        <v>0</v>
      </c>
      <c r="I225" s="206"/>
      <c r="J225" s="49">
        <f>J152</f>
        <v>0</v>
      </c>
      <c r="K225" s="13">
        <f>SUM(F225:J225)</f>
        <v>0</v>
      </c>
      <c r="L225" s="3"/>
    </row>
    <row r="226" spans="1:16" x14ac:dyDescent="0.35">
      <c r="A226" s="205" t="s">
        <v>59</v>
      </c>
      <c r="B226" s="205"/>
      <c r="C226" s="205"/>
      <c r="D226" s="205"/>
      <c r="E226" s="205"/>
      <c r="F226" s="12">
        <f>J61</f>
        <v>0</v>
      </c>
      <c r="G226" s="12">
        <f>J140</f>
        <v>1739.25</v>
      </c>
      <c r="H226" s="206">
        <f>J203</f>
        <v>348.25</v>
      </c>
      <c r="I226" s="206"/>
      <c r="J226" s="49">
        <f>J155</f>
        <v>599.5</v>
      </c>
      <c r="K226" s="13">
        <f>SUM(F226:J226)</f>
        <v>2687</v>
      </c>
      <c r="L226" s="3"/>
    </row>
    <row r="227" spans="1:16" x14ac:dyDescent="0.35">
      <c r="A227" s="205" t="s">
        <v>60</v>
      </c>
      <c r="B227" s="205"/>
      <c r="C227" s="205"/>
      <c r="D227" s="205"/>
      <c r="E227" s="205"/>
      <c r="F227" s="48">
        <f>J59</f>
        <v>0</v>
      </c>
      <c r="G227" s="49">
        <f>J138</f>
        <v>0</v>
      </c>
      <c r="H227" s="207">
        <f>J201</f>
        <v>0</v>
      </c>
      <c r="I227" s="207"/>
      <c r="J227" s="49">
        <f>J153</f>
        <v>0</v>
      </c>
      <c r="K227" s="49">
        <f>SUM(F227:J227)</f>
        <v>0</v>
      </c>
      <c r="L227" s="3"/>
    </row>
    <row r="228" spans="1:16" x14ac:dyDescent="0.35">
      <c r="A228" s="205"/>
      <c r="B228" s="205"/>
      <c r="C228" s="205"/>
      <c r="D228" s="205"/>
      <c r="E228" s="205"/>
      <c r="F228" s="10"/>
      <c r="J228" s="8"/>
      <c r="L228" s="3"/>
    </row>
    <row r="229" spans="1:16" x14ac:dyDescent="0.35">
      <c r="A229" s="205"/>
      <c r="B229" s="205"/>
      <c r="C229" s="205"/>
      <c r="D229" s="205"/>
      <c r="E229" s="205"/>
      <c r="F229" s="10"/>
      <c r="J229" s="8"/>
      <c r="L229" s="3"/>
    </row>
    <row r="230" spans="1:16" x14ac:dyDescent="0.35">
      <c r="A230" s="208"/>
      <c r="B230" s="208"/>
      <c r="C230" s="208"/>
      <c r="D230" s="208"/>
      <c r="E230" s="208"/>
      <c r="F230" s="7"/>
      <c r="J230" s="8"/>
      <c r="L230" s="3"/>
    </row>
    <row r="231" spans="1:16" x14ac:dyDescent="0.35">
      <c r="A231" s="205"/>
      <c r="B231" s="205"/>
      <c r="C231" s="205"/>
      <c r="D231" s="205"/>
      <c r="E231" s="205"/>
      <c r="F231" s="10"/>
      <c r="J231" s="8"/>
      <c r="L231" s="2"/>
    </row>
    <row r="232" spans="1:16" x14ac:dyDescent="0.35">
      <c r="A232" s="205"/>
      <c r="B232" s="205"/>
      <c r="C232" s="205"/>
      <c r="D232" s="205"/>
      <c r="E232" s="205"/>
      <c r="F232" s="10"/>
      <c r="J232" s="8"/>
      <c r="L232" s="2"/>
    </row>
    <row r="233" spans="1:16" x14ac:dyDescent="0.35">
      <c r="A233" s="205"/>
      <c r="B233" s="205"/>
      <c r="C233" s="205"/>
      <c r="D233" s="205"/>
      <c r="E233" s="205"/>
      <c r="F233" s="10"/>
      <c r="J233" s="8"/>
      <c r="L233" s="2"/>
      <c r="M233" s="3"/>
      <c r="N233" s="4"/>
      <c r="O233" s="4"/>
      <c r="P233" s="4"/>
    </row>
    <row r="234" spans="1:16" x14ac:dyDescent="0.35">
      <c r="A234" s="205"/>
      <c r="B234" s="205"/>
      <c r="C234" s="205"/>
      <c r="D234" s="205"/>
      <c r="E234" s="205"/>
      <c r="F234" s="10"/>
      <c r="J234" s="8"/>
      <c r="L234" s="2"/>
    </row>
    <row r="235" spans="1:16" x14ac:dyDescent="0.35">
      <c r="A235" s="205"/>
      <c r="B235" s="205"/>
      <c r="C235" s="205"/>
      <c r="D235" s="205"/>
      <c r="E235" s="205"/>
      <c r="F235" s="10"/>
      <c r="J235" s="8"/>
      <c r="L235" s="2"/>
      <c r="M235" s="3"/>
      <c r="N235" s="4"/>
      <c r="O235" s="4"/>
      <c r="P235" s="4"/>
    </row>
    <row r="236" spans="1:16" x14ac:dyDescent="0.35">
      <c r="A236" s="205"/>
      <c r="B236" s="205"/>
      <c r="C236" s="205"/>
      <c r="D236" s="205"/>
      <c r="E236" s="205"/>
      <c r="F236" s="10"/>
      <c r="J236" s="8"/>
      <c r="L236" s="2"/>
      <c r="M236" s="3"/>
      <c r="N236" s="4"/>
      <c r="O236" s="4"/>
      <c r="P236" s="4"/>
    </row>
    <row r="237" spans="1:16" x14ac:dyDescent="0.35">
      <c r="A237" s="208"/>
      <c r="B237" s="208"/>
      <c r="C237" s="208"/>
      <c r="D237" s="208"/>
      <c r="E237" s="208"/>
      <c r="F237" s="7"/>
      <c r="J237" s="8"/>
      <c r="L237" s="2"/>
      <c r="M237" s="3"/>
      <c r="N237" s="4"/>
      <c r="O237" s="4"/>
      <c r="P237" s="4"/>
    </row>
    <row r="238" spans="1:16" x14ac:dyDescent="0.35">
      <c r="A238" s="208"/>
      <c r="B238" s="208"/>
      <c r="C238" s="208"/>
      <c r="D238" s="208"/>
      <c r="E238" s="208"/>
      <c r="F238" s="7"/>
      <c r="J238" s="8"/>
      <c r="L238" s="2"/>
      <c r="M238" s="3"/>
      <c r="N238" s="4"/>
      <c r="O238" s="4"/>
      <c r="P238" s="4"/>
    </row>
    <row r="239" spans="1:16" x14ac:dyDescent="0.35">
      <c r="A239" s="6"/>
      <c r="B239" s="6"/>
      <c r="C239" s="6"/>
      <c r="D239" s="6"/>
      <c r="E239" s="6"/>
      <c r="F239" s="6"/>
      <c r="J239" s="8"/>
      <c r="L239" s="2"/>
      <c r="M239" s="3"/>
      <c r="N239" s="2"/>
      <c r="O239" s="4"/>
      <c r="P239" s="4"/>
    </row>
    <row r="240" spans="1:16" x14ac:dyDescent="0.35">
      <c r="A240" s="6"/>
      <c r="B240" s="6"/>
      <c r="C240" s="6"/>
      <c r="D240" s="6"/>
      <c r="E240" s="6"/>
      <c r="F240" s="6"/>
      <c r="J240" s="8"/>
      <c r="L240" s="4"/>
      <c r="M240" s="3"/>
      <c r="N240" s="2"/>
      <c r="O240" s="4"/>
      <c r="P240" s="4"/>
    </row>
    <row r="241" spans="1:16" x14ac:dyDescent="0.35">
      <c r="A241" s="6"/>
      <c r="B241" s="6"/>
      <c r="C241" s="6"/>
      <c r="D241" s="6"/>
      <c r="E241" s="6"/>
      <c r="F241" s="6"/>
      <c r="G241" s="9"/>
      <c r="H241" s="9"/>
      <c r="I241" s="9"/>
      <c r="J241" s="9"/>
      <c r="K241" s="9"/>
      <c r="L241" s="2"/>
      <c r="M241" s="3"/>
      <c r="N241" s="4"/>
      <c r="O241" s="4"/>
      <c r="P241" s="4"/>
    </row>
    <row r="242" spans="1:16" x14ac:dyDescent="0.35">
      <c r="A242" s="6"/>
      <c r="B242" s="6"/>
      <c r="C242" s="6"/>
      <c r="D242" s="6"/>
      <c r="E242" s="6"/>
      <c r="F242" s="6"/>
      <c r="G242" s="9"/>
      <c r="H242" s="9"/>
      <c r="I242" s="9"/>
      <c r="J242" s="9"/>
      <c r="K242" s="9"/>
      <c r="L242" s="2"/>
      <c r="M242" s="3"/>
      <c r="N242" s="2"/>
      <c r="O242" s="4"/>
      <c r="P242" s="4"/>
    </row>
    <row r="243" spans="1:16" x14ac:dyDescent="0.35">
      <c r="A243" s="6"/>
      <c r="B243" s="6"/>
      <c r="C243" s="6"/>
      <c r="D243" s="6"/>
      <c r="E243" s="6"/>
      <c r="F243" s="7"/>
      <c r="G243" s="6"/>
      <c r="H243" s="6"/>
      <c r="I243" s="6"/>
      <c r="J243" s="6"/>
      <c r="K243" s="7"/>
      <c r="L243" s="2"/>
      <c r="M243" s="3"/>
      <c r="N243" s="2"/>
      <c r="O243" s="4"/>
      <c r="P243" s="4"/>
    </row>
    <row r="244" spans="1:16" x14ac:dyDescent="0.35">
      <c r="F244" s="8"/>
      <c r="G244" s="8"/>
      <c r="H244" s="8"/>
      <c r="I244" s="8"/>
      <c r="J244" s="8"/>
      <c r="L244" s="2"/>
      <c r="M244" s="3"/>
      <c r="N244" s="2"/>
      <c r="O244" s="4"/>
      <c r="P244" s="4"/>
    </row>
    <row r="245" spans="1:16" x14ac:dyDescent="0.35">
      <c r="F245" s="8"/>
      <c r="G245" s="8"/>
      <c r="H245" s="8"/>
      <c r="I245" s="8"/>
      <c r="J245" s="8"/>
      <c r="L245" s="2"/>
      <c r="M245" s="3"/>
      <c r="N245" s="2"/>
      <c r="O245" s="4"/>
      <c r="P245" s="4"/>
    </row>
    <row r="246" spans="1:16" x14ac:dyDescent="0.35">
      <c r="F246" s="8"/>
      <c r="G246" s="8"/>
      <c r="H246" s="8"/>
      <c r="I246" s="8"/>
      <c r="J246" s="8"/>
      <c r="L246" s="4"/>
      <c r="M246" s="3"/>
      <c r="N246" s="4"/>
      <c r="O246" s="4"/>
      <c r="P246" s="4"/>
    </row>
    <row r="247" spans="1:16" x14ac:dyDescent="0.35">
      <c r="F247" s="8"/>
      <c r="G247" s="8"/>
      <c r="H247" s="8"/>
      <c r="I247" s="8"/>
      <c r="J247" s="8"/>
      <c r="L247" s="2"/>
      <c r="M247" s="3"/>
      <c r="N247" s="2"/>
      <c r="O247" s="4"/>
      <c r="P247" s="4"/>
    </row>
    <row r="248" spans="1:16" x14ac:dyDescent="0.35">
      <c r="F248" s="8"/>
      <c r="G248" s="8"/>
      <c r="H248" s="8"/>
      <c r="I248" s="8"/>
      <c r="J248" s="8"/>
      <c r="L248" s="2"/>
      <c r="M248" s="3"/>
      <c r="N248" s="2"/>
      <c r="O248" s="4"/>
      <c r="P248" s="4"/>
    </row>
    <row r="249" spans="1:16" x14ac:dyDescent="0.35">
      <c r="F249" s="8"/>
      <c r="G249" s="8"/>
      <c r="H249" s="8"/>
      <c r="I249" s="8"/>
      <c r="J249" s="8"/>
      <c r="L249" s="2"/>
      <c r="M249" s="3"/>
      <c r="N249" s="2"/>
      <c r="O249" s="4"/>
      <c r="P249" s="4"/>
    </row>
    <row r="250" spans="1:16" x14ac:dyDescent="0.35">
      <c r="F250" s="8"/>
      <c r="G250" s="8"/>
      <c r="H250" s="8"/>
      <c r="I250" s="8"/>
      <c r="J250" s="8"/>
      <c r="L250" s="2"/>
      <c r="M250" s="3"/>
      <c r="N250" s="2"/>
      <c r="O250" s="4"/>
      <c r="P250" s="4"/>
    </row>
    <row r="251" spans="1:16" x14ac:dyDescent="0.35">
      <c r="F251" s="8"/>
      <c r="G251" s="8"/>
      <c r="H251" s="8"/>
      <c r="I251" s="8"/>
      <c r="J251" s="8"/>
      <c r="L251" s="2"/>
      <c r="M251" s="3"/>
      <c r="N251" s="2"/>
      <c r="O251" s="4"/>
      <c r="P251" s="4"/>
    </row>
    <row r="252" spans="1:16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L252" s="2"/>
      <c r="M252" s="3"/>
      <c r="N252" s="2"/>
      <c r="O252" s="4"/>
      <c r="P252" s="4"/>
    </row>
    <row r="253" spans="1:16" x14ac:dyDescent="0.35">
      <c r="L253" s="2"/>
      <c r="M253" s="3"/>
      <c r="N253" s="2"/>
      <c r="O253" s="4"/>
      <c r="P253" s="4"/>
    </row>
    <row r="254" spans="1:16" x14ac:dyDescent="0.35">
      <c r="L254" s="2"/>
      <c r="M254" s="3"/>
      <c r="N254" s="2"/>
      <c r="O254" s="4"/>
      <c r="P254" s="4"/>
    </row>
    <row r="255" spans="1:16" x14ac:dyDescent="0.35">
      <c r="L255" s="2"/>
      <c r="M255" s="3"/>
      <c r="N255" s="2"/>
      <c r="O255" s="4"/>
      <c r="P255" s="5"/>
    </row>
  </sheetData>
  <sheetProtection selectLockedCells="1" selectUnlockedCells="1"/>
  <mergeCells count="185">
    <mergeCell ref="A236:E236"/>
    <mergeCell ref="A237:E237"/>
    <mergeCell ref="A238:E238"/>
    <mergeCell ref="A230:E230"/>
    <mergeCell ref="A231:E231"/>
    <mergeCell ref="A232:E232"/>
    <mergeCell ref="A233:E233"/>
    <mergeCell ref="A234:E234"/>
    <mergeCell ref="A235:E235"/>
    <mergeCell ref="A226:E226"/>
    <mergeCell ref="H226:I226"/>
    <mergeCell ref="A227:E227"/>
    <mergeCell ref="H227:I227"/>
    <mergeCell ref="A228:E228"/>
    <mergeCell ref="A229:E229"/>
    <mergeCell ref="A223:E223"/>
    <mergeCell ref="H223:I223"/>
    <mergeCell ref="A224:E224"/>
    <mergeCell ref="H224:I224"/>
    <mergeCell ref="A225:E225"/>
    <mergeCell ref="H225:I225"/>
    <mergeCell ref="A220:E221"/>
    <mergeCell ref="F220:F221"/>
    <mergeCell ref="H220:K220"/>
    <mergeCell ref="H221:K221"/>
    <mergeCell ref="A222:E222"/>
    <mergeCell ref="H222:K222"/>
    <mergeCell ref="A215:K215"/>
    <mergeCell ref="A216:E216"/>
    <mergeCell ref="A217:E217"/>
    <mergeCell ref="A218:E218"/>
    <mergeCell ref="H218:K218"/>
    <mergeCell ref="A219:E219"/>
    <mergeCell ref="G219:K219"/>
    <mergeCell ref="A212:I212"/>
    <mergeCell ref="J212:K212"/>
    <mergeCell ref="A213:I213"/>
    <mergeCell ref="J213:K213"/>
    <mergeCell ref="A214:I214"/>
    <mergeCell ref="J214:K214"/>
    <mergeCell ref="A209:I209"/>
    <mergeCell ref="J209:K209"/>
    <mergeCell ref="A210:I210"/>
    <mergeCell ref="J210:K210"/>
    <mergeCell ref="A211:I211"/>
    <mergeCell ref="J211:K211"/>
    <mergeCell ref="A206:I206"/>
    <mergeCell ref="J206:K206"/>
    <mergeCell ref="A207:I207"/>
    <mergeCell ref="J207:K207"/>
    <mergeCell ref="A208:I208"/>
    <mergeCell ref="J208:K208"/>
    <mergeCell ref="A203:I203"/>
    <mergeCell ref="J203:K203"/>
    <mergeCell ref="A204:I204"/>
    <mergeCell ref="J204:K204"/>
    <mergeCell ref="A205:I205"/>
    <mergeCell ref="J205:K205"/>
    <mergeCell ref="A200:I200"/>
    <mergeCell ref="J200:K200"/>
    <mergeCell ref="A201:I201"/>
    <mergeCell ref="J201:K201"/>
    <mergeCell ref="A202:I202"/>
    <mergeCell ref="J202:K202"/>
    <mergeCell ref="J159:J160"/>
    <mergeCell ref="K159:K160"/>
    <mergeCell ref="A161:K161"/>
    <mergeCell ref="A181:K181"/>
    <mergeCell ref="A199:I199"/>
    <mergeCell ref="J199:K199"/>
    <mergeCell ref="A157:I157"/>
    <mergeCell ref="J157:K157"/>
    <mergeCell ref="A158:I158"/>
    <mergeCell ref="J158:K158"/>
    <mergeCell ref="A159:A160"/>
    <mergeCell ref="B159:E159"/>
    <mergeCell ref="F159:F160"/>
    <mergeCell ref="G159:G160"/>
    <mergeCell ref="H159:H160"/>
    <mergeCell ref="I159:I160"/>
    <mergeCell ref="A154:I154"/>
    <mergeCell ref="J154:K154"/>
    <mergeCell ref="A155:I155"/>
    <mergeCell ref="J155:K155"/>
    <mergeCell ref="A156:I156"/>
    <mergeCell ref="J156:K156"/>
    <mergeCell ref="A146:K146"/>
    <mergeCell ref="A151:I151"/>
    <mergeCell ref="J151:K151"/>
    <mergeCell ref="A152:I152"/>
    <mergeCell ref="J152:K152"/>
    <mergeCell ref="A153:I153"/>
    <mergeCell ref="J153:K153"/>
    <mergeCell ref="A143:I143"/>
    <mergeCell ref="J143:K143"/>
    <mergeCell ref="A144:A145"/>
    <mergeCell ref="B144:E144"/>
    <mergeCell ref="F144:F145"/>
    <mergeCell ref="G144:G145"/>
    <mergeCell ref="H144:H145"/>
    <mergeCell ref="I144:I145"/>
    <mergeCell ref="J144:J145"/>
    <mergeCell ref="K144:K145"/>
    <mergeCell ref="A140:I140"/>
    <mergeCell ref="J140:K140"/>
    <mergeCell ref="A141:I141"/>
    <mergeCell ref="J141:K141"/>
    <mergeCell ref="A142:I142"/>
    <mergeCell ref="J142:K142"/>
    <mergeCell ref="A137:I137"/>
    <mergeCell ref="J137:K137"/>
    <mergeCell ref="A138:I138"/>
    <mergeCell ref="J138:K138"/>
    <mergeCell ref="A139:I139"/>
    <mergeCell ref="J139:K139"/>
    <mergeCell ref="J107:J108"/>
    <mergeCell ref="K107:K108"/>
    <mergeCell ref="A109:K109"/>
    <mergeCell ref="A126:K126"/>
    <mergeCell ref="A136:I136"/>
    <mergeCell ref="J136:K136"/>
    <mergeCell ref="A107:A108"/>
    <mergeCell ref="B107:E107"/>
    <mergeCell ref="F107:F108"/>
    <mergeCell ref="G107:G108"/>
    <mergeCell ref="H107:H108"/>
    <mergeCell ref="I107:I108"/>
    <mergeCell ref="A103:I103"/>
    <mergeCell ref="J103:K103"/>
    <mergeCell ref="A104:I104"/>
    <mergeCell ref="J104:K104"/>
    <mergeCell ref="A105:I105"/>
    <mergeCell ref="J105:K105"/>
    <mergeCell ref="A100:I100"/>
    <mergeCell ref="J100:K100"/>
    <mergeCell ref="A101:I101"/>
    <mergeCell ref="J101:K101"/>
    <mergeCell ref="A102:I102"/>
    <mergeCell ref="J102:K102"/>
    <mergeCell ref="J65:J66"/>
    <mergeCell ref="K65:K66"/>
    <mergeCell ref="A67:K67"/>
    <mergeCell ref="A98:I98"/>
    <mergeCell ref="J98:K98"/>
    <mergeCell ref="A99:I99"/>
    <mergeCell ref="J99:K99"/>
    <mergeCell ref="A65:A66"/>
    <mergeCell ref="B65:E65"/>
    <mergeCell ref="F65:F66"/>
    <mergeCell ref="G65:G66"/>
    <mergeCell ref="H65:H66"/>
    <mergeCell ref="I65:I66"/>
    <mergeCell ref="A62:I62"/>
    <mergeCell ref="J62:K62"/>
    <mergeCell ref="A63:I63"/>
    <mergeCell ref="J63:K63"/>
    <mergeCell ref="A64:I64"/>
    <mergeCell ref="J64:K64"/>
    <mergeCell ref="A59:I59"/>
    <mergeCell ref="J59:K59"/>
    <mergeCell ref="A60:I60"/>
    <mergeCell ref="J60:K60"/>
    <mergeCell ref="A61:I61"/>
    <mergeCell ref="J61:K61"/>
    <mergeCell ref="A38:K38"/>
    <mergeCell ref="A44:K44"/>
    <mergeCell ref="A57:I57"/>
    <mergeCell ref="J57:K57"/>
    <mergeCell ref="A58:I58"/>
    <mergeCell ref="J58:K58"/>
    <mergeCell ref="A4:K4"/>
    <mergeCell ref="A9:K9"/>
    <mergeCell ref="A14:K14"/>
    <mergeCell ref="A22:K22"/>
    <mergeCell ref="A25:K25"/>
    <mergeCell ref="A31:K31"/>
    <mergeCell ref="A1:K1"/>
    <mergeCell ref="A2:A3"/>
    <mergeCell ref="B2:E2"/>
    <mergeCell ref="F2:F3"/>
    <mergeCell ref="G2:G3"/>
    <mergeCell ref="H2:H3"/>
    <mergeCell ref="I2:I3"/>
    <mergeCell ref="J2:J3"/>
    <mergeCell ref="K2:K3"/>
  </mergeCells>
  <conditionalFormatting sqref="L230:L237 M233:O233 M235:O237 P255">
    <cfRule type="cellIs" dxfId="4" priority="1" stopIfTrue="1" operator="lessThan">
      <formula>0</formula>
    </cfRule>
  </conditionalFormatting>
  <pageMargins left="0.27559055118110237" right="7.874015748031496E-2" top="0.27559055118110237" bottom="0.23622047244094491" header="0.23622047244094491" footer="0.23622047244094491"/>
  <pageSetup orientation="portrait" blackAndWhite="1" r:id="rId1"/>
  <rowBreaks count="2" manualBreakCount="2">
    <brk id="106" max="10" man="1"/>
    <brk id="158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AAF9B-9911-4BB9-9292-C124F12DB14B}">
  <dimension ref="A1:R255"/>
  <sheetViews>
    <sheetView zoomScale="98" zoomScaleNormal="98" workbookViewId="0">
      <selection sqref="A1:K1"/>
    </sheetView>
  </sheetViews>
  <sheetFormatPr defaultRowHeight="14.5" x14ac:dyDescent="0.35"/>
  <cols>
    <col min="1" max="5" width="5.7265625" customWidth="1"/>
    <col min="6" max="6" width="32" customWidth="1"/>
    <col min="7" max="7" width="10.54296875" customWidth="1"/>
    <col min="8" max="8" width="8.54296875" customWidth="1"/>
    <col min="9" max="9" width="8.7265625" customWidth="1"/>
    <col min="10" max="11" width="10.54296875" customWidth="1"/>
  </cols>
  <sheetData>
    <row r="1" spans="1:18" ht="15" thickBot="1" x14ac:dyDescent="0.4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6"/>
      <c r="R1" s="8"/>
    </row>
    <row r="2" spans="1:18" x14ac:dyDescent="0.35">
      <c r="A2" s="117" t="s">
        <v>0</v>
      </c>
      <c r="B2" s="119" t="s">
        <v>1</v>
      </c>
      <c r="C2" s="119"/>
      <c r="D2" s="119"/>
      <c r="E2" s="119"/>
      <c r="F2" s="94" t="s">
        <v>2</v>
      </c>
      <c r="G2" s="120" t="s">
        <v>3</v>
      </c>
      <c r="H2" s="94" t="s">
        <v>4</v>
      </c>
      <c r="I2" s="94" t="s">
        <v>5</v>
      </c>
      <c r="J2" s="94" t="s">
        <v>6</v>
      </c>
      <c r="K2" s="96" t="s">
        <v>7</v>
      </c>
    </row>
    <row r="3" spans="1:18" x14ac:dyDescent="0.35">
      <c r="A3" s="118"/>
      <c r="B3" s="27">
        <v>1</v>
      </c>
      <c r="C3" s="27">
        <v>2</v>
      </c>
      <c r="D3" s="27">
        <v>3</v>
      </c>
      <c r="E3" s="27">
        <v>4</v>
      </c>
      <c r="F3" s="95"/>
      <c r="G3" s="121"/>
      <c r="H3" s="95"/>
      <c r="I3" s="95"/>
      <c r="J3" s="95"/>
      <c r="K3" s="97"/>
    </row>
    <row r="4" spans="1:18" s="1" customFormat="1" ht="20.149999999999999" customHeight="1" thickBot="1" x14ac:dyDescent="0.6">
      <c r="A4" s="127" t="s">
        <v>8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8" x14ac:dyDescent="0.35">
      <c r="A5" s="28"/>
      <c r="B5" s="60"/>
      <c r="C5" s="52"/>
      <c r="D5" s="52"/>
      <c r="E5" s="53"/>
      <c r="F5" s="79" t="s">
        <v>143</v>
      </c>
      <c r="G5" s="35">
        <v>47.35</v>
      </c>
      <c r="H5" s="36">
        <v>35.99</v>
      </c>
      <c r="I5" s="28"/>
      <c r="J5" s="37">
        <f>(I5/G5)*H5</f>
        <v>0</v>
      </c>
      <c r="K5" s="38">
        <f>((SUM(A5:E5)/G5)-(I5/G5))*39</f>
        <v>0</v>
      </c>
    </row>
    <row r="6" spans="1:18" x14ac:dyDescent="0.35">
      <c r="A6" s="17"/>
      <c r="B6" s="61"/>
      <c r="C6" s="15"/>
      <c r="D6" s="15"/>
      <c r="E6" s="54"/>
      <c r="F6" s="51" t="s">
        <v>152</v>
      </c>
      <c r="G6" s="35">
        <v>63.4</v>
      </c>
      <c r="H6" s="36">
        <v>46.99</v>
      </c>
      <c r="I6" s="17"/>
      <c r="J6" s="37">
        <f t="shared" ref="J6:J56" si="0">(I6/G6)*H6</f>
        <v>0</v>
      </c>
      <c r="K6" s="38">
        <f>((SUM(A6:E6)/G6)-(I6/G6))*26</f>
        <v>0</v>
      </c>
    </row>
    <row r="7" spans="1:18" x14ac:dyDescent="0.35">
      <c r="A7" s="17"/>
      <c r="B7" s="61"/>
      <c r="C7" s="15"/>
      <c r="D7" s="15"/>
      <c r="E7" s="54"/>
      <c r="F7" s="50" t="s">
        <v>144</v>
      </c>
      <c r="G7" s="35">
        <v>43.65</v>
      </c>
      <c r="H7" s="36">
        <v>33.99</v>
      </c>
      <c r="I7" s="17"/>
      <c r="J7" s="37">
        <f t="shared" si="0"/>
        <v>0</v>
      </c>
      <c r="K7" s="38">
        <f t="shared" ref="K7:K13" si="1">((SUM(A7:E7)/G7)-(I7/G7))*39</f>
        <v>0</v>
      </c>
    </row>
    <row r="8" spans="1:18" x14ac:dyDescent="0.35">
      <c r="A8" s="17"/>
      <c r="B8" s="61"/>
      <c r="C8" s="15"/>
      <c r="D8" s="15"/>
      <c r="E8" s="54"/>
      <c r="F8" s="51"/>
      <c r="G8" s="35"/>
      <c r="H8" s="36"/>
      <c r="I8" s="17"/>
      <c r="J8" s="37" t="e">
        <f t="shared" si="0"/>
        <v>#DIV/0!</v>
      </c>
      <c r="K8" s="38" t="e">
        <f t="shared" si="1"/>
        <v>#DIV/0!</v>
      </c>
    </row>
    <row r="9" spans="1:18" x14ac:dyDescent="0.35">
      <c r="A9" s="135" t="s">
        <v>73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8" x14ac:dyDescent="0.35">
      <c r="A10" s="17"/>
      <c r="B10" s="61"/>
      <c r="C10" s="15"/>
      <c r="D10" s="15"/>
      <c r="E10" s="54"/>
      <c r="F10" s="51" t="s">
        <v>145</v>
      </c>
      <c r="G10" s="35">
        <v>39.200000000000003</v>
      </c>
      <c r="H10" s="36">
        <v>44.99</v>
      </c>
      <c r="I10" s="17"/>
      <c r="J10" s="37">
        <f t="shared" si="0"/>
        <v>0</v>
      </c>
      <c r="K10" s="38">
        <f t="shared" si="1"/>
        <v>0</v>
      </c>
    </row>
    <row r="11" spans="1:18" x14ac:dyDescent="0.35">
      <c r="A11" s="17"/>
      <c r="B11" s="61"/>
      <c r="C11" s="15"/>
      <c r="D11" s="15"/>
      <c r="E11" s="54"/>
      <c r="F11" s="51" t="s">
        <v>146</v>
      </c>
      <c r="G11" s="35">
        <v>38.200000000000003</v>
      </c>
      <c r="H11" s="36">
        <v>26.99</v>
      </c>
      <c r="I11" s="17"/>
      <c r="J11" s="37">
        <f t="shared" si="0"/>
        <v>0</v>
      </c>
      <c r="K11" s="38">
        <f t="shared" si="1"/>
        <v>0</v>
      </c>
    </row>
    <row r="12" spans="1:18" x14ac:dyDescent="0.35">
      <c r="A12" s="17"/>
      <c r="B12" s="61"/>
      <c r="C12" s="15"/>
      <c r="D12" s="15"/>
      <c r="E12" s="54"/>
      <c r="F12" s="51" t="s">
        <v>147</v>
      </c>
      <c r="G12" s="35">
        <v>44.15</v>
      </c>
      <c r="H12" s="36">
        <v>56.99</v>
      </c>
      <c r="I12" s="17"/>
      <c r="J12" s="37">
        <f t="shared" si="0"/>
        <v>0</v>
      </c>
      <c r="K12" s="38">
        <f t="shared" si="1"/>
        <v>0</v>
      </c>
    </row>
    <row r="13" spans="1:18" x14ac:dyDescent="0.35">
      <c r="A13" s="17"/>
      <c r="B13" s="61"/>
      <c r="C13" s="15"/>
      <c r="D13" s="15"/>
      <c r="E13" s="54"/>
      <c r="F13" s="51" t="s">
        <v>148</v>
      </c>
      <c r="G13" s="35">
        <v>47.95</v>
      </c>
      <c r="H13" s="36">
        <v>99.99</v>
      </c>
      <c r="I13" s="17"/>
      <c r="J13" s="37">
        <f t="shared" si="0"/>
        <v>0</v>
      </c>
      <c r="K13" s="38">
        <f t="shared" si="1"/>
        <v>0</v>
      </c>
    </row>
    <row r="14" spans="1:18" x14ac:dyDescent="0.35">
      <c r="A14" s="135" t="s">
        <v>74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7"/>
    </row>
    <row r="15" spans="1:18" x14ac:dyDescent="0.35">
      <c r="A15" s="17"/>
      <c r="B15" s="61"/>
      <c r="C15" s="15"/>
      <c r="D15" s="15"/>
      <c r="E15" s="54"/>
      <c r="F15" s="51" t="s">
        <v>153</v>
      </c>
      <c r="G15" s="35">
        <v>64.599999999999994</v>
      </c>
      <c r="H15" s="36">
        <v>41.99</v>
      </c>
      <c r="I15" s="17"/>
      <c r="J15" s="37">
        <f t="shared" si="0"/>
        <v>0</v>
      </c>
      <c r="K15" s="38">
        <f>((SUM(A15:E15)/G15)-(I15/G15))*39</f>
        <v>0</v>
      </c>
    </row>
    <row r="16" spans="1:18" x14ac:dyDescent="0.35">
      <c r="A16" s="17"/>
      <c r="B16" s="61"/>
      <c r="C16" s="15"/>
      <c r="D16" s="15"/>
      <c r="E16" s="54"/>
      <c r="F16" s="51" t="s">
        <v>75</v>
      </c>
      <c r="G16" s="35">
        <v>47.25</v>
      </c>
      <c r="H16" s="36">
        <v>30.99</v>
      </c>
      <c r="I16" s="17"/>
      <c r="J16" s="37">
        <f t="shared" si="0"/>
        <v>0</v>
      </c>
      <c r="K16" s="38">
        <f>((SUM(A16:E16)/G16)-(I16/G16))*39</f>
        <v>0</v>
      </c>
    </row>
    <row r="17" spans="1:11" x14ac:dyDescent="0.35">
      <c r="A17" s="17"/>
      <c r="B17" s="61"/>
      <c r="C17" s="15"/>
      <c r="D17" s="15"/>
      <c r="E17" s="54"/>
      <c r="F17" s="51" t="s">
        <v>213</v>
      </c>
      <c r="G17" s="35">
        <v>42.75</v>
      </c>
      <c r="H17" s="36">
        <v>27.99</v>
      </c>
      <c r="I17" s="17"/>
      <c r="J17" s="37">
        <f t="shared" si="0"/>
        <v>0</v>
      </c>
      <c r="K17" s="38">
        <f>((SUM(A17:E17)/G17)-(I17/G17))*26</f>
        <v>0</v>
      </c>
    </row>
    <row r="18" spans="1:11" x14ac:dyDescent="0.35">
      <c r="A18" s="17"/>
      <c r="B18" s="61"/>
      <c r="C18" s="15"/>
      <c r="D18" s="15"/>
      <c r="E18" s="54"/>
      <c r="F18" s="51" t="s">
        <v>214</v>
      </c>
      <c r="G18" s="35">
        <v>45</v>
      </c>
      <c r="H18" s="36">
        <v>26.99</v>
      </c>
      <c r="I18" s="17"/>
      <c r="J18" s="37">
        <f t="shared" si="0"/>
        <v>0</v>
      </c>
      <c r="K18" s="38">
        <f>((SUM(A18:E18)/G18)-(I18/G18))*26</f>
        <v>0</v>
      </c>
    </row>
    <row r="19" spans="1:11" x14ac:dyDescent="0.35">
      <c r="A19" s="17"/>
      <c r="B19" s="61"/>
      <c r="C19" s="15"/>
      <c r="D19" s="15"/>
      <c r="E19" s="54"/>
      <c r="F19" s="51" t="s">
        <v>77</v>
      </c>
      <c r="G19" s="35">
        <v>51.1</v>
      </c>
      <c r="H19" s="36">
        <v>36.99</v>
      </c>
      <c r="I19" s="17"/>
      <c r="J19" s="37">
        <f t="shared" si="0"/>
        <v>0</v>
      </c>
      <c r="K19" s="38">
        <f t="shared" ref="K19:K26" si="2">((SUM(A19:E19)/G19)-(I19/G19))*39</f>
        <v>0</v>
      </c>
    </row>
    <row r="20" spans="1:11" x14ac:dyDescent="0.35">
      <c r="A20" s="17"/>
      <c r="B20" s="61"/>
      <c r="C20" s="15"/>
      <c r="D20" s="15"/>
      <c r="E20" s="54"/>
      <c r="F20" s="51" t="s">
        <v>155</v>
      </c>
      <c r="G20" s="35">
        <v>59.25</v>
      </c>
      <c r="H20" s="36">
        <v>22.99</v>
      </c>
      <c r="I20" s="17"/>
      <c r="J20" s="37">
        <f t="shared" si="0"/>
        <v>0</v>
      </c>
      <c r="K20" s="38">
        <f t="shared" si="2"/>
        <v>0</v>
      </c>
    </row>
    <row r="21" spans="1:11" x14ac:dyDescent="0.35">
      <c r="A21" s="17"/>
      <c r="B21" s="61"/>
      <c r="C21" s="15"/>
      <c r="D21" s="15"/>
      <c r="E21" s="54"/>
      <c r="F21" s="51" t="s">
        <v>215</v>
      </c>
      <c r="G21" s="35">
        <v>53.05</v>
      </c>
      <c r="H21" s="36">
        <v>36.99</v>
      </c>
      <c r="I21" s="17"/>
      <c r="J21" s="37">
        <f t="shared" si="0"/>
        <v>0</v>
      </c>
      <c r="K21" s="38">
        <f t="shared" si="2"/>
        <v>0</v>
      </c>
    </row>
    <row r="22" spans="1:11" x14ac:dyDescent="0.35">
      <c r="A22" s="138" t="s">
        <v>78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</row>
    <row r="23" spans="1:11" x14ac:dyDescent="0.35">
      <c r="A23" s="17"/>
      <c r="B23" s="61"/>
      <c r="C23" s="15"/>
      <c r="D23" s="15"/>
      <c r="E23" s="54"/>
      <c r="F23" s="51" t="s">
        <v>79</v>
      </c>
      <c r="G23" s="35">
        <v>45.95</v>
      </c>
      <c r="H23" s="36">
        <v>39.99</v>
      </c>
      <c r="I23" s="17"/>
      <c r="J23" s="37">
        <f t="shared" si="0"/>
        <v>0</v>
      </c>
      <c r="K23" s="38">
        <f t="shared" si="2"/>
        <v>0</v>
      </c>
    </row>
    <row r="24" spans="1:11" x14ac:dyDescent="0.35">
      <c r="A24" s="17"/>
      <c r="B24" s="61"/>
      <c r="C24" s="15"/>
      <c r="D24" s="15"/>
      <c r="E24" s="54"/>
      <c r="F24" s="51" t="s">
        <v>80</v>
      </c>
      <c r="G24" s="35">
        <v>46.1</v>
      </c>
      <c r="H24" s="36">
        <v>49.99</v>
      </c>
      <c r="I24" s="17"/>
      <c r="J24" s="37">
        <f t="shared" si="0"/>
        <v>0</v>
      </c>
      <c r="K24" s="38">
        <f t="shared" si="2"/>
        <v>0</v>
      </c>
    </row>
    <row r="25" spans="1:11" x14ac:dyDescent="0.35">
      <c r="A25" s="138" t="s">
        <v>81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1" x14ac:dyDescent="0.35">
      <c r="A26" s="17"/>
      <c r="B26" s="61"/>
      <c r="C26" s="15"/>
      <c r="D26" s="15"/>
      <c r="E26" s="54"/>
      <c r="F26" s="51" t="s">
        <v>223</v>
      </c>
      <c r="G26" s="35">
        <v>43.6</v>
      </c>
      <c r="H26" s="36">
        <v>23.99</v>
      </c>
      <c r="I26" s="17"/>
      <c r="J26" s="37">
        <f t="shared" si="0"/>
        <v>0</v>
      </c>
      <c r="K26" s="38">
        <f t="shared" si="2"/>
        <v>0</v>
      </c>
    </row>
    <row r="27" spans="1:11" x14ac:dyDescent="0.35">
      <c r="A27" s="17"/>
      <c r="B27" s="61"/>
      <c r="C27" s="15"/>
      <c r="D27" s="15"/>
      <c r="E27" s="54"/>
      <c r="F27" s="51" t="s">
        <v>224</v>
      </c>
      <c r="G27" s="35">
        <v>66.55</v>
      </c>
      <c r="H27" s="36">
        <v>29.99</v>
      </c>
      <c r="I27" s="17"/>
      <c r="J27" s="37">
        <f t="shared" si="0"/>
        <v>0</v>
      </c>
      <c r="K27" s="38">
        <f>((SUM(A27:E27)/G27)-(I27/G27))*26</f>
        <v>0</v>
      </c>
    </row>
    <row r="28" spans="1:11" x14ac:dyDescent="0.35">
      <c r="A28" s="17"/>
      <c r="B28" s="61"/>
      <c r="C28" s="15"/>
      <c r="D28" s="15"/>
      <c r="E28" s="54"/>
      <c r="F28" s="51" t="s">
        <v>83</v>
      </c>
      <c r="G28" s="35"/>
      <c r="H28" s="36">
        <v>26.99</v>
      </c>
      <c r="I28" s="17"/>
      <c r="J28" s="37" t="e">
        <f t="shared" si="0"/>
        <v>#DIV/0!</v>
      </c>
      <c r="K28" s="38" t="e">
        <f>((SUM(A28:E28)/G28)-(I28/G28))*26</f>
        <v>#DIV/0!</v>
      </c>
    </row>
    <row r="29" spans="1:11" x14ac:dyDescent="0.35">
      <c r="A29" s="17"/>
      <c r="B29" s="61"/>
      <c r="C29" s="15"/>
      <c r="D29" s="15"/>
      <c r="E29" s="54"/>
      <c r="F29" s="51" t="s">
        <v>84</v>
      </c>
      <c r="G29" s="35">
        <v>45.1</v>
      </c>
      <c r="H29" s="36">
        <v>49.99</v>
      </c>
      <c r="I29" s="17"/>
      <c r="J29" s="37">
        <f t="shared" si="0"/>
        <v>0</v>
      </c>
      <c r="K29" s="38">
        <f>((SUM(A29:E29)/G29)-(I29/G29))*26</f>
        <v>0</v>
      </c>
    </row>
    <row r="30" spans="1:11" x14ac:dyDescent="0.35">
      <c r="A30" s="17"/>
      <c r="B30" s="61"/>
      <c r="C30" s="15"/>
      <c r="D30" s="15"/>
      <c r="E30" s="54"/>
      <c r="F30" s="51" t="s">
        <v>85</v>
      </c>
      <c r="G30" s="35">
        <v>45.45</v>
      </c>
      <c r="H30" s="36">
        <v>28.99</v>
      </c>
      <c r="I30" s="17"/>
      <c r="J30" s="37">
        <f t="shared" si="0"/>
        <v>0</v>
      </c>
      <c r="K30" s="38">
        <f>((SUM(A30:E30)/G30)-(I30/G30))*39</f>
        <v>0</v>
      </c>
    </row>
    <row r="31" spans="1:11" x14ac:dyDescent="0.35">
      <c r="A31" s="138" t="s">
        <v>86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40"/>
    </row>
    <row r="32" spans="1:11" x14ac:dyDescent="0.35">
      <c r="A32" s="17"/>
      <c r="B32" s="55"/>
      <c r="C32" s="16"/>
      <c r="D32" s="16"/>
      <c r="E32" s="56"/>
      <c r="F32" s="51" t="s">
        <v>87</v>
      </c>
      <c r="G32" s="35">
        <v>44.1</v>
      </c>
      <c r="H32" s="36">
        <v>25.99</v>
      </c>
      <c r="I32" s="17"/>
      <c r="J32" s="37">
        <f t="shared" si="0"/>
        <v>0</v>
      </c>
      <c r="K32" s="38">
        <f>((SUM(A32:E32)/G32)-(I32/G32))*26</f>
        <v>0</v>
      </c>
    </row>
    <row r="33" spans="1:11" x14ac:dyDescent="0.35">
      <c r="A33" s="17"/>
      <c r="B33" s="55"/>
      <c r="C33" s="16"/>
      <c r="D33" s="16"/>
      <c r="E33" s="56"/>
      <c r="F33" s="51" t="s">
        <v>216</v>
      </c>
      <c r="G33" s="35">
        <v>41.65</v>
      </c>
      <c r="H33" s="36">
        <v>24.99</v>
      </c>
      <c r="I33" s="17"/>
      <c r="J33" s="37">
        <f t="shared" si="0"/>
        <v>0</v>
      </c>
      <c r="K33" s="38">
        <f>((SUM(A33:E33)/G33)-(I33/G33))*26</f>
        <v>0</v>
      </c>
    </row>
    <row r="34" spans="1:11" x14ac:dyDescent="0.35">
      <c r="A34" s="17"/>
      <c r="B34" s="55"/>
      <c r="C34" s="16"/>
      <c r="D34" s="16"/>
      <c r="E34" s="56"/>
      <c r="F34" s="51" t="s">
        <v>217</v>
      </c>
      <c r="G34" s="35">
        <v>53.4</v>
      </c>
      <c r="H34" s="36">
        <v>36.99</v>
      </c>
      <c r="I34" s="17"/>
      <c r="J34" s="37">
        <f>(I34/G34)*H34</f>
        <v>0</v>
      </c>
      <c r="K34" s="38">
        <f>((SUM(A34:E34)/G34)-(I34/G34))*26</f>
        <v>0</v>
      </c>
    </row>
    <row r="35" spans="1:11" x14ac:dyDescent="0.35">
      <c r="A35" s="17"/>
      <c r="B35" s="55"/>
      <c r="C35" s="16"/>
      <c r="D35" s="16"/>
      <c r="E35" s="56"/>
      <c r="F35" s="51" t="s">
        <v>218</v>
      </c>
      <c r="G35" s="35">
        <v>60.25</v>
      </c>
      <c r="H35" s="36">
        <v>57.99</v>
      </c>
      <c r="I35" s="17"/>
      <c r="J35" s="37">
        <f t="shared" si="0"/>
        <v>0</v>
      </c>
      <c r="K35" s="38">
        <f>((SUM(A35:E35)/G35)-(I35/G35))*26</f>
        <v>0</v>
      </c>
    </row>
    <row r="36" spans="1:11" x14ac:dyDescent="0.35">
      <c r="A36" s="17"/>
      <c r="B36" s="55"/>
      <c r="C36" s="16"/>
      <c r="D36" s="16"/>
      <c r="E36" s="56"/>
      <c r="F36" s="51" t="s">
        <v>219</v>
      </c>
      <c r="G36" s="35">
        <v>59.75</v>
      </c>
      <c r="H36" s="36">
        <v>36.99</v>
      </c>
      <c r="I36" s="17"/>
      <c r="J36" s="37">
        <f t="shared" si="0"/>
        <v>0</v>
      </c>
      <c r="K36" s="38">
        <f>((SUM(A36:E36)/G36)-(I36/G36))*13</f>
        <v>0</v>
      </c>
    </row>
    <row r="37" spans="1:11" x14ac:dyDescent="0.35">
      <c r="A37" s="17"/>
      <c r="B37" s="76"/>
      <c r="C37" s="77"/>
      <c r="D37" s="77"/>
      <c r="E37" s="78"/>
      <c r="F37" s="51" t="s">
        <v>220</v>
      </c>
      <c r="G37" s="35">
        <v>41.05</v>
      </c>
      <c r="H37" s="36">
        <v>22.99</v>
      </c>
      <c r="I37" s="17"/>
      <c r="J37" s="37">
        <f t="shared" si="0"/>
        <v>0</v>
      </c>
      <c r="K37" s="38">
        <f>((SUM(A37:E37)/G37)-(I37/G37))*39</f>
        <v>0</v>
      </c>
    </row>
    <row r="38" spans="1:11" x14ac:dyDescent="0.35">
      <c r="A38" s="141" t="s">
        <v>90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3"/>
    </row>
    <row r="39" spans="1:11" x14ac:dyDescent="0.35">
      <c r="A39" s="17"/>
      <c r="B39" s="55"/>
      <c r="C39" s="16"/>
      <c r="D39" s="16"/>
      <c r="E39" s="56"/>
      <c r="F39" s="50" t="s">
        <v>92</v>
      </c>
      <c r="G39" s="35">
        <v>61.95</v>
      </c>
      <c r="H39" s="36">
        <v>34.99</v>
      </c>
      <c r="I39" s="17"/>
      <c r="J39" s="37">
        <f t="shared" si="0"/>
        <v>0</v>
      </c>
      <c r="K39" s="38">
        <f t="shared" ref="K39:K56" si="3">((SUM(A39:E39)/G39)-(I39/G39))*39</f>
        <v>0</v>
      </c>
    </row>
    <row r="40" spans="1:11" x14ac:dyDescent="0.35">
      <c r="A40" s="17"/>
      <c r="B40" s="55"/>
      <c r="C40" s="16"/>
      <c r="D40" s="16"/>
      <c r="E40" s="56"/>
      <c r="F40" s="50" t="s">
        <v>163</v>
      </c>
      <c r="G40" s="35"/>
      <c r="H40" s="36"/>
      <c r="I40" s="17"/>
      <c r="J40" s="37" t="e">
        <f t="shared" si="0"/>
        <v>#DIV/0!</v>
      </c>
      <c r="K40" s="38" t="e">
        <f t="shared" ref="K40:K41" si="4">((SUM(A40:E40)/G40)-(I40/G40))*39</f>
        <v>#DIV/0!</v>
      </c>
    </row>
    <row r="41" spans="1:11" x14ac:dyDescent="0.35">
      <c r="A41" s="17"/>
      <c r="B41" s="55"/>
      <c r="C41" s="16"/>
      <c r="D41" s="16"/>
      <c r="E41" s="56"/>
      <c r="F41" s="50" t="s">
        <v>160</v>
      </c>
      <c r="G41" s="35">
        <v>43.45</v>
      </c>
      <c r="H41" s="36">
        <v>34.99</v>
      </c>
      <c r="I41" s="17"/>
      <c r="J41" s="37">
        <f t="shared" si="0"/>
        <v>0</v>
      </c>
      <c r="K41" s="38">
        <f t="shared" si="4"/>
        <v>0</v>
      </c>
    </row>
    <row r="42" spans="1:11" x14ac:dyDescent="0.35">
      <c r="A42" s="17"/>
      <c r="B42" s="55"/>
      <c r="C42" s="16"/>
      <c r="D42" s="16"/>
      <c r="E42" s="56"/>
      <c r="F42" s="50" t="s">
        <v>91</v>
      </c>
      <c r="G42" s="35">
        <v>50.85</v>
      </c>
      <c r="H42" s="36">
        <v>59.99</v>
      </c>
      <c r="I42" s="17"/>
      <c r="J42" s="37">
        <f t="shared" si="0"/>
        <v>0</v>
      </c>
      <c r="K42" s="38">
        <f t="shared" si="3"/>
        <v>0</v>
      </c>
    </row>
    <row r="43" spans="1:11" x14ac:dyDescent="0.35">
      <c r="A43" s="17"/>
      <c r="B43" s="55">
        <v>1</v>
      </c>
      <c r="C43" s="16"/>
      <c r="D43" s="16"/>
      <c r="E43" s="56"/>
      <c r="F43" s="50" t="s">
        <v>151</v>
      </c>
      <c r="G43" s="35">
        <v>47.3</v>
      </c>
      <c r="H43" s="36">
        <v>29.99</v>
      </c>
      <c r="I43" s="17"/>
      <c r="J43" s="37">
        <f t="shared" si="0"/>
        <v>0</v>
      </c>
      <c r="K43" s="38">
        <f t="shared" si="3"/>
        <v>0.82452431289640593</v>
      </c>
    </row>
    <row r="44" spans="1:11" x14ac:dyDescent="0.35">
      <c r="A44" s="138" t="s">
        <v>93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40"/>
    </row>
    <row r="45" spans="1:11" x14ac:dyDescent="0.35">
      <c r="A45" s="17"/>
      <c r="B45" s="55"/>
      <c r="C45" s="16"/>
      <c r="D45" s="16"/>
      <c r="E45" s="56"/>
      <c r="F45" s="50" t="s">
        <v>94</v>
      </c>
      <c r="G45" s="35">
        <v>43.8</v>
      </c>
      <c r="H45" s="36">
        <v>26.99</v>
      </c>
      <c r="I45" s="17"/>
      <c r="J45" s="37">
        <f t="shared" si="0"/>
        <v>0</v>
      </c>
      <c r="K45" s="38">
        <f t="shared" si="3"/>
        <v>0</v>
      </c>
    </row>
    <row r="46" spans="1:11" x14ac:dyDescent="0.35">
      <c r="A46" s="17"/>
      <c r="B46" s="55"/>
      <c r="C46" s="16"/>
      <c r="D46" s="16"/>
      <c r="E46" s="56"/>
      <c r="F46" s="50" t="s">
        <v>95</v>
      </c>
      <c r="G46" s="35">
        <v>43.8</v>
      </c>
      <c r="H46" s="36">
        <v>28.99</v>
      </c>
      <c r="I46" s="17"/>
      <c r="J46" s="37">
        <f t="shared" si="0"/>
        <v>0</v>
      </c>
      <c r="K46" s="38">
        <f t="shared" si="3"/>
        <v>0</v>
      </c>
    </row>
    <row r="47" spans="1:11" x14ac:dyDescent="0.35">
      <c r="A47" s="17"/>
      <c r="B47" s="55"/>
      <c r="C47" s="16"/>
      <c r="D47" s="16"/>
      <c r="E47" s="56"/>
      <c r="F47" s="50" t="s">
        <v>69</v>
      </c>
      <c r="G47" s="35">
        <v>50.4</v>
      </c>
      <c r="H47" s="36">
        <v>44.99</v>
      </c>
      <c r="I47" s="17"/>
      <c r="J47" s="37">
        <f t="shared" si="0"/>
        <v>0</v>
      </c>
      <c r="K47" s="38">
        <f t="shared" si="3"/>
        <v>0</v>
      </c>
    </row>
    <row r="48" spans="1:11" x14ac:dyDescent="0.35">
      <c r="A48" s="17"/>
      <c r="B48" s="55"/>
      <c r="C48" s="16"/>
      <c r="D48" s="16"/>
      <c r="E48" s="56"/>
      <c r="F48" s="50" t="s">
        <v>96</v>
      </c>
      <c r="G48" s="35">
        <v>61.3</v>
      </c>
      <c r="H48" s="36">
        <v>33.99</v>
      </c>
      <c r="I48" s="17"/>
      <c r="J48" s="37">
        <f t="shared" si="0"/>
        <v>0</v>
      </c>
      <c r="K48" s="38">
        <f t="shared" si="3"/>
        <v>0</v>
      </c>
    </row>
    <row r="49" spans="1:11" x14ac:dyDescent="0.35">
      <c r="A49" s="17"/>
      <c r="B49" s="55"/>
      <c r="C49" s="16"/>
      <c r="D49" s="16"/>
      <c r="E49" s="56"/>
      <c r="F49" s="50" t="s">
        <v>97</v>
      </c>
      <c r="G49" s="35">
        <v>50.25</v>
      </c>
      <c r="H49" s="36">
        <v>27.99</v>
      </c>
      <c r="I49" s="17"/>
      <c r="J49" s="37">
        <f t="shared" si="0"/>
        <v>0</v>
      </c>
      <c r="K49" s="38">
        <f t="shared" si="3"/>
        <v>0</v>
      </c>
    </row>
    <row r="50" spans="1:11" x14ac:dyDescent="0.35">
      <c r="A50" s="17"/>
      <c r="B50" s="55"/>
      <c r="C50" s="16"/>
      <c r="D50" s="16"/>
      <c r="E50" s="56"/>
      <c r="F50" s="50" t="s">
        <v>98</v>
      </c>
      <c r="G50" s="35">
        <v>42.45</v>
      </c>
      <c r="H50" s="36">
        <v>27.99</v>
      </c>
      <c r="I50" s="17"/>
      <c r="J50" s="37">
        <f t="shared" si="0"/>
        <v>0</v>
      </c>
      <c r="K50" s="38">
        <f t="shared" si="3"/>
        <v>0</v>
      </c>
    </row>
    <row r="51" spans="1:11" x14ac:dyDescent="0.35">
      <c r="A51" s="17"/>
      <c r="B51" s="55"/>
      <c r="C51" s="16"/>
      <c r="D51" s="16"/>
      <c r="E51" s="56"/>
      <c r="F51" s="50" t="s">
        <v>225</v>
      </c>
      <c r="G51" s="35">
        <v>42.45</v>
      </c>
      <c r="H51" s="36">
        <v>27.99</v>
      </c>
      <c r="I51" s="17"/>
      <c r="J51" s="37">
        <f t="shared" si="0"/>
        <v>0</v>
      </c>
      <c r="K51" s="38">
        <f t="shared" si="3"/>
        <v>0</v>
      </c>
    </row>
    <row r="52" spans="1:11" x14ac:dyDescent="0.35">
      <c r="A52" s="17"/>
      <c r="B52" s="55"/>
      <c r="C52" s="16"/>
      <c r="D52" s="16"/>
      <c r="E52" s="56"/>
      <c r="F52" s="50" t="s">
        <v>158</v>
      </c>
      <c r="G52" s="35">
        <v>42.45</v>
      </c>
      <c r="H52" s="36">
        <v>27.99</v>
      </c>
      <c r="I52" s="17"/>
      <c r="J52" s="37">
        <f t="shared" si="0"/>
        <v>0</v>
      </c>
      <c r="K52" s="38">
        <f t="shared" si="3"/>
        <v>0</v>
      </c>
    </row>
    <row r="53" spans="1:11" x14ac:dyDescent="0.35">
      <c r="A53" s="17"/>
      <c r="B53" s="55"/>
      <c r="C53" s="16"/>
      <c r="D53" s="16"/>
      <c r="E53" s="56"/>
      <c r="F53" s="50" t="s">
        <v>159</v>
      </c>
      <c r="G53" s="35"/>
      <c r="H53" s="36">
        <v>31.99</v>
      </c>
      <c r="I53" s="17"/>
      <c r="J53" s="37" t="e">
        <f t="shared" si="0"/>
        <v>#DIV/0!</v>
      </c>
      <c r="K53" s="38" t="e">
        <f t="shared" si="3"/>
        <v>#DIV/0!</v>
      </c>
    </row>
    <row r="54" spans="1:11" x14ac:dyDescent="0.35">
      <c r="A54" s="17"/>
      <c r="B54" s="55"/>
      <c r="C54" s="16"/>
      <c r="D54" s="16"/>
      <c r="E54" s="56"/>
      <c r="F54" s="50" t="s">
        <v>176</v>
      </c>
      <c r="G54" s="35"/>
      <c r="H54" s="36"/>
      <c r="I54" s="17"/>
      <c r="J54" s="37" t="e">
        <f t="shared" si="0"/>
        <v>#DIV/0!</v>
      </c>
      <c r="K54" s="38" t="e">
        <f t="shared" si="3"/>
        <v>#DIV/0!</v>
      </c>
    </row>
    <row r="55" spans="1:11" x14ac:dyDescent="0.35">
      <c r="A55" s="17"/>
      <c r="B55" s="55"/>
      <c r="C55" s="16"/>
      <c r="D55" s="16"/>
      <c r="E55" s="56"/>
      <c r="F55" s="50" t="s">
        <v>180</v>
      </c>
      <c r="G55" s="35">
        <v>48.45</v>
      </c>
      <c r="H55" s="36">
        <v>34.99</v>
      </c>
      <c r="I55" s="17"/>
      <c r="J55" s="37">
        <f t="shared" si="0"/>
        <v>0</v>
      </c>
      <c r="K55" s="38">
        <f t="shared" si="3"/>
        <v>0</v>
      </c>
    </row>
    <row r="56" spans="1:11" ht="15" thickBot="1" x14ac:dyDescent="0.4">
      <c r="A56" s="17"/>
      <c r="B56" s="57"/>
      <c r="C56" s="58"/>
      <c r="D56" s="58"/>
      <c r="E56" s="59"/>
      <c r="F56" s="50"/>
      <c r="G56" s="35"/>
      <c r="H56" s="36"/>
      <c r="I56" s="17"/>
      <c r="J56" s="37" t="e">
        <f t="shared" si="0"/>
        <v>#DIV/0!</v>
      </c>
      <c r="K56" s="38" t="e">
        <f t="shared" si="3"/>
        <v>#DIV/0!</v>
      </c>
    </row>
    <row r="57" spans="1:11" ht="20.149999999999999" customHeight="1" thickBot="1" x14ac:dyDescent="0.6">
      <c r="A57" s="130" t="s">
        <v>9</v>
      </c>
      <c r="B57" s="131"/>
      <c r="C57" s="131"/>
      <c r="D57" s="131"/>
      <c r="E57" s="131"/>
      <c r="F57" s="132"/>
      <c r="G57" s="132"/>
      <c r="H57" s="132"/>
      <c r="I57" s="133"/>
      <c r="J57" s="126">
        <v>1713.9906492157534</v>
      </c>
      <c r="K57" s="88"/>
    </row>
    <row r="58" spans="1:11" ht="20.149999999999999" customHeight="1" thickBot="1" x14ac:dyDescent="0.6">
      <c r="A58" s="130" t="s">
        <v>10</v>
      </c>
      <c r="B58" s="132"/>
      <c r="C58" s="132"/>
      <c r="D58" s="132"/>
      <c r="E58" s="132"/>
      <c r="F58" s="132"/>
      <c r="G58" s="132"/>
      <c r="H58" s="132"/>
      <c r="I58" s="134"/>
      <c r="J58" s="122">
        <v>0</v>
      </c>
      <c r="K58" s="90"/>
    </row>
    <row r="59" spans="1:11" ht="20.149999999999999" customHeight="1" thickBot="1" x14ac:dyDescent="0.6">
      <c r="A59" s="130" t="s">
        <v>55</v>
      </c>
      <c r="B59" s="132"/>
      <c r="C59" s="132"/>
      <c r="D59" s="132"/>
      <c r="E59" s="132"/>
      <c r="F59" s="132"/>
      <c r="G59" s="132"/>
      <c r="H59" s="132"/>
      <c r="I59" s="134"/>
      <c r="J59" s="89">
        <v>0</v>
      </c>
      <c r="K59" s="90"/>
    </row>
    <row r="60" spans="1:11" ht="20.149999999999999" customHeight="1" thickBot="1" x14ac:dyDescent="0.6">
      <c r="A60" s="130" t="s">
        <v>11</v>
      </c>
      <c r="B60" s="132"/>
      <c r="C60" s="132"/>
      <c r="D60" s="132"/>
      <c r="E60" s="132"/>
      <c r="F60" s="132"/>
      <c r="G60" s="132"/>
      <c r="H60" s="132"/>
      <c r="I60" s="134"/>
      <c r="J60" s="126" t="e">
        <f>SUM(J5:J56)</f>
        <v>#DIV/0!</v>
      </c>
      <c r="K60" s="88"/>
    </row>
    <row r="61" spans="1:11" ht="20.149999999999999" customHeight="1" thickBot="1" x14ac:dyDescent="0.6">
      <c r="A61" s="109" t="s">
        <v>12</v>
      </c>
      <c r="B61" s="110"/>
      <c r="C61" s="110"/>
      <c r="D61" s="110"/>
      <c r="E61" s="110"/>
      <c r="F61" s="110"/>
      <c r="G61" s="110"/>
      <c r="H61" s="110"/>
      <c r="I61" s="111"/>
      <c r="J61" s="122"/>
      <c r="K61" s="90"/>
    </row>
    <row r="62" spans="1:11" ht="20.149999999999999" customHeight="1" thickBot="1" x14ac:dyDescent="0.6">
      <c r="A62" s="123" t="s">
        <v>13</v>
      </c>
      <c r="B62" s="124"/>
      <c r="C62" s="124"/>
      <c r="D62" s="124"/>
      <c r="E62" s="124"/>
      <c r="F62" s="124"/>
      <c r="G62" s="124"/>
      <c r="H62" s="124"/>
      <c r="I62" s="125"/>
      <c r="J62" s="126" t="e">
        <f>J57+J58+J59-J60</f>
        <v>#DIV/0!</v>
      </c>
      <c r="K62" s="88"/>
    </row>
    <row r="63" spans="1:11" ht="20.149999999999999" customHeight="1" thickBot="1" x14ac:dyDescent="0.6">
      <c r="A63" s="109" t="s">
        <v>14</v>
      </c>
      <c r="B63" s="110"/>
      <c r="C63" s="110"/>
      <c r="D63" s="110"/>
      <c r="E63" s="110"/>
      <c r="F63" s="110"/>
      <c r="G63" s="110"/>
      <c r="H63" s="110"/>
      <c r="I63" s="111"/>
      <c r="J63" s="144" t="e">
        <f>J62/J61</f>
        <v>#DIV/0!</v>
      </c>
      <c r="K63" s="113"/>
    </row>
    <row r="64" spans="1:11" ht="20.149999999999999" customHeight="1" thickBot="1" x14ac:dyDescent="0.6">
      <c r="A64" s="109" t="s">
        <v>56</v>
      </c>
      <c r="B64" s="110"/>
      <c r="C64" s="110"/>
      <c r="D64" s="110"/>
      <c r="E64" s="110"/>
      <c r="F64" s="110"/>
      <c r="G64" s="110"/>
      <c r="H64" s="110"/>
      <c r="I64" s="111"/>
      <c r="J64" s="144" t="e">
        <f>((F224+F225+F227-J60)/F226)</f>
        <v>#DIV/0!</v>
      </c>
      <c r="K64" s="113"/>
    </row>
    <row r="65" spans="1:16" x14ac:dyDescent="0.35">
      <c r="A65" s="117" t="s">
        <v>0</v>
      </c>
      <c r="B65" s="119" t="s">
        <v>1</v>
      </c>
      <c r="C65" s="119"/>
      <c r="D65" s="119"/>
      <c r="E65" s="119"/>
      <c r="F65" s="94" t="s">
        <v>2</v>
      </c>
      <c r="G65" s="94" t="s">
        <v>3</v>
      </c>
      <c r="H65" s="94" t="s">
        <v>4</v>
      </c>
      <c r="I65" s="94" t="s">
        <v>5</v>
      </c>
      <c r="J65" s="94" t="s">
        <v>6</v>
      </c>
      <c r="K65" s="96" t="s">
        <v>7</v>
      </c>
    </row>
    <row r="66" spans="1:16" ht="20.149999999999999" customHeight="1" x14ac:dyDescent="0.35">
      <c r="A66" s="118"/>
      <c r="B66" s="27">
        <v>1</v>
      </c>
      <c r="C66" s="27">
        <v>2</v>
      </c>
      <c r="D66" s="27">
        <v>3</v>
      </c>
      <c r="E66" s="27">
        <v>4</v>
      </c>
      <c r="F66" s="95"/>
      <c r="G66" s="95"/>
      <c r="H66" s="95"/>
      <c r="I66" s="95"/>
      <c r="J66" s="95"/>
      <c r="K66" s="97"/>
    </row>
    <row r="67" spans="1:16" ht="24" thickBot="1" x14ac:dyDescent="0.6">
      <c r="A67" s="98" t="s">
        <v>122</v>
      </c>
      <c r="B67" s="99"/>
      <c r="C67" s="99"/>
      <c r="D67" s="99"/>
      <c r="E67" s="99"/>
      <c r="F67" s="99"/>
      <c r="G67" s="99"/>
      <c r="H67" s="99"/>
      <c r="I67" s="99"/>
      <c r="J67" s="100"/>
      <c r="K67" s="101"/>
    </row>
    <row r="68" spans="1:16" x14ac:dyDescent="0.35">
      <c r="A68" s="28"/>
      <c r="B68" s="14"/>
      <c r="C68" s="14"/>
      <c r="D68" s="14"/>
      <c r="E68" s="14"/>
      <c r="F68" s="34" t="s">
        <v>138</v>
      </c>
      <c r="G68" s="35"/>
      <c r="H68" s="36">
        <v>22.99</v>
      </c>
      <c r="I68" s="28"/>
      <c r="J68" s="63" t="e">
        <f>(I68/G68)*H68</f>
        <v>#DIV/0!</v>
      </c>
      <c r="K68" s="40">
        <f>(SUM(A68:E68))-I68</f>
        <v>0</v>
      </c>
      <c r="O68" s="49"/>
      <c r="P68" s="49"/>
    </row>
    <row r="69" spans="1:16" x14ac:dyDescent="0.35">
      <c r="A69" s="28"/>
      <c r="B69" s="14"/>
      <c r="C69" s="14"/>
      <c r="D69" s="14"/>
      <c r="E69" s="14"/>
      <c r="F69" s="34" t="s">
        <v>221</v>
      </c>
      <c r="G69" s="35">
        <v>69.75</v>
      </c>
      <c r="H69" s="36">
        <v>39.99</v>
      </c>
      <c r="I69" s="28"/>
      <c r="J69" s="63">
        <f t="shared" ref="J69:J97" si="5">(I69/G69)*H69</f>
        <v>0</v>
      </c>
      <c r="K69" s="40">
        <f>(SUM(A69:E69))-I69</f>
        <v>0</v>
      </c>
      <c r="O69" s="49"/>
      <c r="P69" s="49"/>
    </row>
    <row r="70" spans="1:16" x14ac:dyDescent="0.35">
      <c r="A70" s="28"/>
      <c r="B70" s="14"/>
      <c r="C70" s="14"/>
      <c r="D70" s="14"/>
      <c r="E70" s="14"/>
      <c r="F70" s="34" t="s">
        <v>126</v>
      </c>
      <c r="G70" s="35">
        <v>49.65</v>
      </c>
      <c r="H70" s="36">
        <v>24.99</v>
      </c>
      <c r="I70" s="28"/>
      <c r="J70" s="63">
        <f t="shared" si="5"/>
        <v>0</v>
      </c>
      <c r="K70" s="40">
        <f t="shared" ref="K70:K97" si="6">(SUM(A70:E70))-I70</f>
        <v>0</v>
      </c>
      <c r="O70" s="49"/>
      <c r="P70" s="49"/>
    </row>
    <row r="71" spans="1:16" x14ac:dyDescent="0.35">
      <c r="A71" s="28"/>
      <c r="B71" s="14"/>
      <c r="C71" s="14"/>
      <c r="D71" s="14"/>
      <c r="E71" s="14"/>
      <c r="F71" s="34" t="s">
        <v>124</v>
      </c>
      <c r="G71" s="35">
        <v>41.9</v>
      </c>
      <c r="H71" s="36">
        <v>20.99</v>
      </c>
      <c r="I71" s="28"/>
      <c r="J71" s="63">
        <f t="shared" si="5"/>
        <v>0</v>
      </c>
      <c r="K71" s="40">
        <f t="shared" si="6"/>
        <v>0</v>
      </c>
      <c r="O71" s="49"/>
      <c r="P71" s="49"/>
    </row>
    <row r="72" spans="1:16" x14ac:dyDescent="0.35">
      <c r="A72" s="28"/>
      <c r="B72" s="14"/>
      <c r="C72" s="14"/>
      <c r="D72" s="14"/>
      <c r="E72" s="14"/>
      <c r="F72" s="34" t="s">
        <v>125</v>
      </c>
      <c r="G72" s="35">
        <v>41.9</v>
      </c>
      <c r="H72" s="36">
        <v>20.99</v>
      </c>
      <c r="I72" s="28"/>
      <c r="J72" s="63">
        <f t="shared" si="5"/>
        <v>0</v>
      </c>
      <c r="K72" s="40">
        <f t="shared" si="6"/>
        <v>0</v>
      </c>
      <c r="O72" s="49"/>
      <c r="P72" s="49"/>
    </row>
    <row r="73" spans="1:16" x14ac:dyDescent="0.35">
      <c r="A73" s="28"/>
      <c r="B73" s="14"/>
      <c r="C73" s="14"/>
      <c r="D73" s="14"/>
      <c r="E73" s="14"/>
      <c r="F73" s="34" t="s">
        <v>123</v>
      </c>
      <c r="G73" s="35">
        <v>41.9</v>
      </c>
      <c r="H73" s="36">
        <v>21.99</v>
      </c>
      <c r="I73" s="28"/>
      <c r="J73" s="63">
        <f t="shared" si="5"/>
        <v>0</v>
      </c>
      <c r="K73" s="40">
        <f t="shared" si="6"/>
        <v>0</v>
      </c>
      <c r="O73" s="49"/>
      <c r="P73" s="49"/>
    </row>
    <row r="74" spans="1:16" x14ac:dyDescent="0.35">
      <c r="A74" s="28"/>
      <c r="B74" s="14"/>
      <c r="C74" s="14"/>
      <c r="D74" s="14"/>
      <c r="E74" s="14"/>
      <c r="F74" s="34" t="s">
        <v>129</v>
      </c>
      <c r="G74" s="35"/>
      <c r="H74" s="36">
        <v>41.99</v>
      </c>
      <c r="I74" s="28"/>
      <c r="J74" s="63" t="e">
        <f t="shared" si="5"/>
        <v>#DIV/0!</v>
      </c>
      <c r="K74" s="40">
        <f t="shared" si="6"/>
        <v>0</v>
      </c>
      <c r="O74" s="49"/>
      <c r="P74" s="49"/>
    </row>
    <row r="75" spans="1:16" x14ac:dyDescent="0.35">
      <c r="A75" s="28"/>
      <c r="B75" s="14"/>
      <c r="C75" s="14"/>
      <c r="D75" s="14"/>
      <c r="E75" s="14"/>
      <c r="F75" s="34" t="s">
        <v>127</v>
      </c>
      <c r="G75" s="35">
        <v>49.4</v>
      </c>
      <c r="H75" s="36">
        <v>20.99</v>
      </c>
      <c r="I75" s="28"/>
      <c r="J75" s="63">
        <f t="shared" si="5"/>
        <v>0</v>
      </c>
      <c r="K75" s="40">
        <f t="shared" si="6"/>
        <v>0</v>
      </c>
      <c r="O75" s="49"/>
      <c r="P75" s="49"/>
    </row>
    <row r="76" spans="1:16" x14ac:dyDescent="0.35">
      <c r="A76" s="28"/>
      <c r="B76" s="14"/>
      <c r="C76" s="14"/>
      <c r="D76" s="14"/>
      <c r="E76" s="14"/>
      <c r="F76" s="34" t="s">
        <v>70</v>
      </c>
      <c r="G76" s="35">
        <v>50.65</v>
      </c>
      <c r="H76" s="36">
        <v>32.99</v>
      </c>
      <c r="I76" s="28"/>
      <c r="J76" s="63">
        <f t="shared" si="5"/>
        <v>0</v>
      </c>
      <c r="K76" s="40">
        <f t="shared" si="6"/>
        <v>0</v>
      </c>
      <c r="O76" s="49"/>
      <c r="P76" s="49"/>
    </row>
    <row r="77" spans="1:16" x14ac:dyDescent="0.35">
      <c r="A77" s="28"/>
      <c r="B77" s="14"/>
      <c r="C77" s="14"/>
      <c r="D77" s="14"/>
      <c r="E77" s="14"/>
      <c r="F77" s="34" t="s">
        <v>128</v>
      </c>
      <c r="G77" s="35">
        <v>50.45</v>
      </c>
      <c r="H77" s="36">
        <v>24.99</v>
      </c>
      <c r="I77" s="28"/>
      <c r="J77" s="63">
        <f t="shared" si="5"/>
        <v>0</v>
      </c>
      <c r="K77" s="40">
        <f t="shared" si="6"/>
        <v>0</v>
      </c>
      <c r="O77" s="49"/>
      <c r="P77" s="49"/>
    </row>
    <row r="78" spans="1:16" x14ac:dyDescent="0.35">
      <c r="A78" s="28"/>
      <c r="B78" s="14"/>
      <c r="C78" s="14"/>
      <c r="D78" s="14"/>
      <c r="E78" s="14"/>
      <c r="F78" s="34" t="s">
        <v>67</v>
      </c>
      <c r="G78" s="35">
        <v>53.7</v>
      </c>
      <c r="H78" s="36">
        <v>27.99</v>
      </c>
      <c r="I78" s="28"/>
      <c r="J78" s="63">
        <f t="shared" si="5"/>
        <v>0</v>
      </c>
      <c r="K78" s="40">
        <f t="shared" si="6"/>
        <v>0</v>
      </c>
      <c r="O78" s="49"/>
      <c r="P78" s="49"/>
    </row>
    <row r="79" spans="1:16" x14ac:dyDescent="0.35">
      <c r="A79" s="28"/>
      <c r="B79" s="14"/>
      <c r="C79" s="14"/>
      <c r="D79" s="14"/>
      <c r="E79" s="14"/>
      <c r="F79" s="34" t="s">
        <v>131</v>
      </c>
      <c r="G79" s="35">
        <v>49.5</v>
      </c>
      <c r="H79" s="36">
        <v>39.99</v>
      </c>
      <c r="I79" s="28"/>
      <c r="J79" s="63">
        <f t="shared" si="5"/>
        <v>0</v>
      </c>
      <c r="K79" s="40">
        <f t="shared" si="6"/>
        <v>0</v>
      </c>
      <c r="O79" s="49"/>
      <c r="P79" s="49"/>
    </row>
    <row r="80" spans="1:16" x14ac:dyDescent="0.35">
      <c r="A80" s="28"/>
      <c r="B80" s="14"/>
      <c r="C80" s="14"/>
      <c r="D80" s="14"/>
      <c r="E80" s="14"/>
      <c r="F80" s="34" t="s">
        <v>161</v>
      </c>
      <c r="G80" s="35">
        <v>59.45</v>
      </c>
      <c r="H80" s="36">
        <v>38.99</v>
      </c>
      <c r="I80" s="28"/>
      <c r="J80" s="63">
        <f t="shared" si="5"/>
        <v>0</v>
      </c>
      <c r="K80" s="40">
        <f t="shared" si="6"/>
        <v>0</v>
      </c>
      <c r="O80" s="49"/>
      <c r="P80" s="49"/>
    </row>
    <row r="81" spans="1:16" x14ac:dyDescent="0.35">
      <c r="A81" s="28"/>
      <c r="B81" s="14"/>
      <c r="C81" s="14"/>
      <c r="D81" s="14"/>
      <c r="E81" s="14"/>
      <c r="F81" s="34" t="s">
        <v>133</v>
      </c>
      <c r="G81" s="35">
        <v>54.55</v>
      </c>
      <c r="H81" s="36"/>
      <c r="I81" s="28"/>
      <c r="J81" s="63">
        <f t="shared" si="5"/>
        <v>0</v>
      </c>
      <c r="K81" s="40">
        <f t="shared" si="6"/>
        <v>0</v>
      </c>
      <c r="O81" s="49"/>
      <c r="P81" s="49"/>
    </row>
    <row r="82" spans="1:16" x14ac:dyDescent="0.35">
      <c r="A82" s="28"/>
      <c r="B82" s="14"/>
      <c r="C82" s="14"/>
      <c r="D82" s="14"/>
      <c r="E82" s="14"/>
      <c r="F82" s="34" t="s">
        <v>185</v>
      </c>
      <c r="G82" s="35">
        <v>41.4</v>
      </c>
      <c r="H82" s="36">
        <v>33.99</v>
      </c>
      <c r="I82" s="28"/>
      <c r="J82" s="63">
        <f t="shared" si="5"/>
        <v>0</v>
      </c>
      <c r="K82" s="40">
        <f t="shared" si="6"/>
        <v>0</v>
      </c>
      <c r="O82" s="49"/>
      <c r="P82" s="49"/>
    </row>
    <row r="83" spans="1:16" x14ac:dyDescent="0.35">
      <c r="A83" s="28"/>
      <c r="B83" s="14"/>
      <c r="C83" s="14"/>
      <c r="D83" s="14"/>
      <c r="E83" s="14"/>
      <c r="F83" s="34" t="s">
        <v>186</v>
      </c>
      <c r="G83" s="35">
        <v>63.45</v>
      </c>
      <c r="H83" s="36">
        <v>36.99</v>
      </c>
      <c r="I83" s="28"/>
      <c r="J83" s="63">
        <f t="shared" si="5"/>
        <v>0</v>
      </c>
      <c r="K83" s="40">
        <f t="shared" si="6"/>
        <v>0</v>
      </c>
      <c r="O83" s="49"/>
      <c r="P83" s="49"/>
    </row>
    <row r="84" spans="1:16" x14ac:dyDescent="0.35">
      <c r="A84" s="28"/>
      <c r="B84" s="14"/>
      <c r="C84" s="14"/>
      <c r="D84" s="14"/>
      <c r="E84" s="14"/>
      <c r="F84" s="34" t="s">
        <v>137</v>
      </c>
      <c r="G84" s="35">
        <v>48.1</v>
      </c>
      <c r="H84" s="36">
        <v>20.99</v>
      </c>
      <c r="I84" s="28"/>
      <c r="J84" s="63">
        <f t="shared" si="5"/>
        <v>0</v>
      </c>
      <c r="K84" s="40">
        <f t="shared" si="6"/>
        <v>0</v>
      </c>
      <c r="O84" s="49"/>
      <c r="P84" s="49"/>
    </row>
    <row r="85" spans="1:16" x14ac:dyDescent="0.35">
      <c r="A85" s="28"/>
      <c r="B85" s="14"/>
      <c r="C85" s="14"/>
      <c r="D85" s="14"/>
      <c r="E85" s="14"/>
      <c r="F85" s="34" t="s">
        <v>132</v>
      </c>
      <c r="G85" s="35">
        <v>50.4</v>
      </c>
      <c r="H85" s="36">
        <v>28.99</v>
      </c>
      <c r="I85" s="28"/>
      <c r="J85" s="63">
        <f t="shared" si="5"/>
        <v>0</v>
      </c>
      <c r="K85" s="40">
        <f t="shared" si="6"/>
        <v>0</v>
      </c>
      <c r="O85" s="49"/>
      <c r="P85" s="49"/>
    </row>
    <row r="86" spans="1:16" x14ac:dyDescent="0.35">
      <c r="A86" s="28"/>
      <c r="B86" s="14"/>
      <c r="C86" s="14"/>
      <c r="D86" s="14"/>
      <c r="E86" s="14"/>
      <c r="F86" s="34" t="s">
        <v>136</v>
      </c>
      <c r="G86" s="35">
        <v>48</v>
      </c>
      <c r="H86" s="36">
        <v>20.99</v>
      </c>
      <c r="I86" s="28"/>
      <c r="J86" s="63">
        <f t="shared" si="5"/>
        <v>0</v>
      </c>
      <c r="K86" s="40">
        <f t="shared" si="6"/>
        <v>0</v>
      </c>
      <c r="O86" s="49"/>
      <c r="P86" s="49"/>
    </row>
    <row r="87" spans="1:16" x14ac:dyDescent="0.35">
      <c r="A87" s="28"/>
      <c r="B87" s="14"/>
      <c r="C87" s="14"/>
      <c r="D87" s="14"/>
      <c r="E87" s="14"/>
      <c r="F87" s="34" t="s">
        <v>222</v>
      </c>
      <c r="G87" s="35"/>
      <c r="H87" s="36"/>
      <c r="I87" s="28"/>
      <c r="J87" s="63" t="e">
        <f t="shared" si="5"/>
        <v>#DIV/0!</v>
      </c>
      <c r="K87" s="40">
        <f t="shared" si="6"/>
        <v>0</v>
      </c>
      <c r="O87" s="49"/>
      <c r="P87" s="49"/>
    </row>
    <row r="88" spans="1:16" x14ac:dyDescent="0.35">
      <c r="A88" s="28"/>
      <c r="B88" s="14"/>
      <c r="C88" s="14"/>
      <c r="D88" s="14"/>
      <c r="E88" s="14"/>
      <c r="F88" s="34" t="s">
        <v>187</v>
      </c>
      <c r="G88" s="35"/>
      <c r="H88" s="36">
        <v>20.99</v>
      </c>
      <c r="I88" s="28"/>
      <c r="J88" s="63" t="e">
        <f t="shared" si="5"/>
        <v>#DIV/0!</v>
      </c>
      <c r="K88" s="40">
        <f t="shared" si="6"/>
        <v>0</v>
      </c>
      <c r="O88" s="49"/>
      <c r="P88" s="49"/>
    </row>
    <row r="89" spans="1:16" x14ac:dyDescent="0.35">
      <c r="A89" s="28"/>
      <c r="B89" s="14"/>
      <c r="C89" s="14"/>
      <c r="D89" s="14"/>
      <c r="E89" s="14"/>
      <c r="F89" s="34" t="s">
        <v>177</v>
      </c>
      <c r="G89" s="35">
        <v>42.75</v>
      </c>
      <c r="H89" s="36">
        <v>22.99</v>
      </c>
      <c r="I89" s="28"/>
      <c r="J89" s="63">
        <f t="shared" si="5"/>
        <v>0</v>
      </c>
      <c r="K89" s="40">
        <f t="shared" si="6"/>
        <v>0</v>
      </c>
      <c r="O89" s="49"/>
      <c r="P89" s="49"/>
    </row>
    <row r="90" spans="1:16" x14ac:dyDescent="0.35">
      <c r="A90" s="28"/>
      <c r="B90" s="14"/>
      <c r="C90" s="14"/>
      <c r="D90" s="14"/>
      <c r="E90" s="14"/>
      <c r="F90" s="34" t="s">
        <v>189</v>
      </c>
      <c r="G90" s="35">
        <v>42.35</v>
      </c>
      <c r="H90" s="36">
        <v>21.99</v>
      </c>
      <c r="I90" s="28"/>
      <c r="J90" s="63">
        <f t="shared" si="5"/>
        <v>0</v>
      </c>
      <c r="K90" s="40">
        <f t="shared" si="6"/>
        <v>0</v>
      </c>
      <c r="O90" s="49"/>
      <c r="P90" s="49"/>
    </row>
    <row r="91" spans="1:16" x14ac:dyDescent="0.35">
      <c r="A91" s="28"/>
      <c r="B91" s="14"/>
      <c r="C91" s="14"/>
      <c r="D91" s="14"/>
      <c r="E91" s="14"/>
      <c r="F91" s="34" t="s">
        <v>190</v>
      </c>
      <c r="G91" s="35">
        <v>41.15</v>
      </c>
      <c r="H91" s="36">
        <v>21.99</v>
      </c>
      <c r="I91" s="28"/>
      <c r="J91" s="63">
        <f t="shared" si="5"/>
        <v>0</v>
      </c>
      <c r="K91" s="40">
        <f t="shared" ref="K91:K96" si="7">(SUM(A91:E91))-I91</f>
        <v>0</v>
      </c>
      <c r="O91" s="49"/>
      <c r="P91" s="49"/>
    </row>
    <row r="92" spans="1:16" x14ac:dyDescent="0.35">
      <c r="A92" s="28"/>
      <c r="B92" s="14"/>
      <c r="C92" s="14"/>
      <c r="D92" s="14"/>
      <c r="E92" s="14"/>
      <c r="F92" s="34" t="s">
        <v>191</v>
      </c>
      <c r="G92" s="35">
        <v>42.75</v>
      </c>
      <c r="H92" s="36">
        <v>21.99</v>
      </c>
      <c r="I92" s="28"/>
      <c r="J92" s="63">
        <f t="shared" si="5"/>
        <v>0</v>
      </c>
      <c r="K92" s="40">
        <f t="shared" si="7"/>
        <v>0</v>
      </c>
      <c r="O92" s="49"/>
      <c r="P92" s="49"/>
    </row>
    <row r="93" spans="1:16" x14ac:dyDescent="0.35">
      <c r="A93" s="28"/>
      <c r="B93" s="14"/>
      <c r="C93" s="14"/>
      <c r="D93" s="14"/>
      <c r="E93" s="14"/>
      <c r="F93" s="34" t="s">
        <v>192</v>
      </c>
      <c r="G93" s="35">
        <v>43.55</v>
      </c>
      <c r="H93" s="36">
        <v>33.99</v>
      </c>
      <c r="I93" s="28"/>
      <c r="J93" s="63">
        <f t="shared" si="5"/>
        <v>0</v>
      </c>
      <c r="K93" s="40">
        <f t="shared" si="7"/>
        <v>0</v>
      </c>
      <c r="O93" s="49"/>
      <c r="P93" s="49"/>
    </row>
    <row r="94" spans="1:16" x14ac:dyDescent="0.35">
      <c r="A94" s="28"/>
      <c r="B94" s="14"/>
      <c r="C94" s="14"/>
      <c r="D94" s="14"/>
      <c r="E94" s="14"/>
      <c r="F94" s="34" t="s">
        <v>193</v>
      </c>
      <c r="G94" s="35">
        <v>44.15</v>
      </c>
      <c r="H94" s="36">
        <v>34.99</v>
      </c>
      <c r="I94" s="28"/>
      <c r="J94" s="63">
        <f t="shared" si="5"/>
        <v>0</v>
      </c>
      <c r="K94" s="40">
        <f t="shared" si="7"/>
        <v>0</v>
      </c>
      <c r="O94" s="49"/>
      <c r="P94" s="49"/>
    </row>
    <row r="95" spans="1:16" x14ac:dyDescent="0.35">
      <c r="A95" s="28"/>
      <c r="B95" s="14"/>
      <c r="C95" s="14"/>
      <c r="D95" s="14"/>
      <c r="E95" s="14"/>
      <c r="F95" s="34" t="s">
        <v>195</v>
      </c>
      <c r="G95" s="35">
        <v>48.1</v>
      </c>
      <c r="H95" s="36">
        <v>29.99</v>
      </c>
      <c r="I95" s="28"/>
      <c r="J95" s="63">
        <f t="shared" si="5"/>
        <v>0</v>
      </c>
      <c r="K95" s="40">
        <f t="shared" si="7"/>
        <v>0</v>
      </c>
      <c r="O95" s="49"/>
      <c r="P95" s="49"/>
    </row>
    <row r="96" spans="1:16" x14ac:dyDescent="0.35">
      <c r="A96" s="28"/>
      <c r="B96" s="14"/>
      <c r="C96" s="14"/>
      <c r="D96" s="14"/>
      <c r="E96" s="14"/>
      <c r="F96" s="34" t="s">
        <v>194</v>
      </c>
      <c r="G96" s="35">
        <v>42.8</v>
      </c>
      <c r="H96" s="36">
        <v>25.99</v>
      </c>
      <c r="I96" s="28"/>
      <c r="J96" s="63">
        <f t="shared" si="5"/>
        <v>0</v>
      </c>
      <c r="K96" s="40">
        <f t="shared" si="7"/>
        <v>0</v>
      </c>
      <c r="O96" s="49"/>
      <c r="P96" s="49"/>
    </row>
    <row r="97" spans="1:16" ht="15" thickBot="1" x14ac:dyDescent="0.4">
      <c r="A97" s="28"/>
      <c r="B97" s="14"/>
      <c r="C97" s="14"/>
      <c r="D97" s="14"/>
      <c r="E97" s="14"/>
      <c r="F97" s="34" t="s">
        <v>188</v>
      </c>
      <c r="G97" s="35">
        <v>53.9</v>
      </c>
      <c r="H97" s="36">
        <v>33.99</v>
      </c>
      <c r="I97" s="28"/>
      <c r="J97" s="63">
        <f t="shared" si="5"/>
        <v>0</v>
      </c>
      <c r="K97" s="40">
        <f t="shared" si="6"/>
        <v>0</v>
      </c>
      <c r="O97" s="49"/>
      <c r="P97" s="49"/>
    </row>
    <row r="98" spans="1:16" ht="17.25" customHeight="1" thickBot="1" x14ac:dyDescent="0.6">
      <c r="A98" s="84" t="s">
        <v>9</v>
      </c>
      <c r="B98" s="85"/>
      <c r="C98" s="85"/>
      <c r="D98" s="85"/>
      <c r="E98" s="85"/>
      <c r="F98" s="85"/>
      <c r="G98" s="85"/>
      <c r="H98" s="85"/>
      <c r="I98" s="86"/>
      <c r="J98" s="87"/>
      <c r="K98" s="88"/>
      <c r="O98" s="49"/>
      <c r="P98" s="49"/>
    </row>
    <row r="99" spans="1:16" ht="24" thickBot="1" x14ac:dyDescent="0.6">
      <c r="A99" s="84" t="s">
        <v>139</v>
      </c>
      <c r="B99" s="85"/>
      <c r="C99" s="85"/>
      <c r="D99" s="85"/>
      <c r="E99" s="85"/>
      <c r="F99" s="85"/>
      <c r="G99" s="85"/>
      <c r="H99" s="85"/>
      <c r="I99" s="86"/>
      <c r="J99" s="89">
        <v>0</v>
      </c>
      <c r="K99" s="90"/>
    </row>
    <row r="100" spans="1:16" ht="24" thickBot="1" x14ac:dyDescent="0.6">
      <c r="A100" s="84" t="s">
        <v>55</v>
      </c>
      <c r="B100" s="85"/>
      <c r="C100" s="85"/>
      <c r="D100" s="85"/>
      <c r="E100" s="85"/>
      <c r="F100" s="85"/>
      <c r="G100" s="85"/>
      <c r="H100" s="85"/>
      <c r="I100" s="86"/>
      <c r="J100" s="89">
        <v>0</v>
      </c>
      <c r="K100" s="90"/>
    </row>
    <row r="101" spans="1:16" ht="24" thickBot="1" x14ac:dyDescent="0.6">
      <c r="A101" s="84" t="s">
        <v>11</v>
      </c>
      <c r="B101" s="85"/>
      <c r="C101" s="85"/>
      <c r="D101" s="85"/>
      <c r="E101" s="85"/>
      <c r="F101" s="85"/>
      <c r="G101" s="85"/>
      <c r="H101" s="85"/>
      <c r="I101" s="86"/>
      <c r="J101" s="87" t="e">
        <f>SUM(J66:J97)</f>
        <v>#DIV/0!</v>
      </c>
      <c r="K101" s="88"/>
    </row>
    <row r="102" spans="1:16" ht="24" thickBot="1" x14ac:dyDescent="0.6">
      <c r="A102" s="84" t="s">
        <v>140</v>
      </c>
      <c r="B102" s="85"/>
      <c r="C102" s="85"/>
      <c r="D102" s="85"/>
      <c r="E102" s="85"/>
      <c r="F102" s="85"/>
      <c r="G102" s="85"/>
      <c r="H102" s="85"/>
      <c r="I102" s="86"/>
      <c r="J102" s="89">
        <v>1739.25</v>
      </c>
      <c r="K102" s="90"/>
      <c r="O102" s="49"/>
      <c r="P102" s="49"/>
    </row>
    <row r="103" spans="1:16" ht="24" thickBot="1" x14ac:dyDescent="0.6">
      <c r="A103" s="84" t="s">
        <v>141</v>
      </c>
      <c r="B103" s="85"/>
      <c r="C103" s="85"/>
      <c r="D103" s="85"/>
      <c r="E103" s="85"/>
      <c r="F103" s="85"/>
      <c r="G103" s="85"/>
      <c r="H103" s="85"/>
      <c r="I103" s="86"/>
      <c r="J103" s="87" t="e">
        <f>J98+J99+J100-J101</f>
        <v>#DIV/0!</v>
      </c>
      <c r="K103" s="88"/>
      <c r="O103" s="49"/>
      <c r="P103" s="49"/>
    </row>
    <row r="104" spans="1:16" ht="24" thickBot="1" x14ac:dyDescent="0.6">
      <c r="A104" s="109" t="s">
        <v>142</v>
      </c>
      <c r="B104" s="110"/>
      <c r="C104" s="110"/>
      <c r="D104" s="110"/>
      <c r="E104" s="110"/>
      <c r="F104" s="110"/>
      <c r="G104" s="110"/>
      <c r="H104" s="110"/>
      <c r="I104" s="111"/>
      <c r="J104" s="112" t="e">
        <f>J103/J102</f>
        <v>#DIV/0!</v>
      </c>
      <c r="K104" s="113"/>
      <c r="O104" s="49"/>
      <c r="P104" s="49"/>
    </row>
    <row r="105" spans="1:16" ht="24" thickBot="1" x14ac:dyDescent="0.6">
      <c r="A105" s="109" t="s">
        <v>56</v>
      </c>
      <c r="B105" s="110"/>
      <c r="C105" s="110"/>
      <c r="D105" s="110"/>
      <c r="E105" s="110"/>
      <c r="F105" s="110"/>
      <c r="G105" s="110"/>
      <c r="H105" s="110"/>
      <c r="I105" s="111"/>
      <c r="J105" s="112" t="e">
        <f>((G187+G188+G190-J101)/G189)</f>
        <v>#REF!</v>
      </c>
      <c r="K105" s="113"/>
      <c r="O105" s="49"/>
      <c r="P105" s="49"/>
    </row>
    <row r="106" spans="1:16" ht="15" thickBot="1" x14ac:dyDescent="0.4">
      <c r="A106" s="62"/>
      <c r="B106" s="15"/>
      <c r="C106" s="15"/>
      <c r="D106" s="15"/>
      <c r="E106" s="15"/>
      <c r="F106" s="34"/>
      <c r="G106" s="35" t="e">
        <f>#REF!</f>
        <v>#REF!</v>
      </c>
      <c r="H106" s="36"/>
      <c r="I106" s="28"/>
      <c r="J106" s="39">
        <f t="shared" ref="J106" si="8">I106*H106</f>
        <v>0</v>
      </c>
      <c r="K106" s="40">
        <f t="shared" ref="K106" si="9">(SUM(A106:E106))-I106</f>
        <v>0</v>
      </c>
      <c r="O106" s="49"/>
      <c r="P106" s="49"/>
    </row>
    <row r="107" spans="1:16" x14ac:dyDescent="0.35">
      <c r="A107" s="145" t="s">
        <v>0</v>
      </c>
      <c r="B107" s="147" t="s">
        <v>1</v>
      </c>
      <c r="C107" s="148"/>
      <c r="D107" s="148"/>
      <c r="E107" s="149"/>
      <c r="F107" s="102" t="s">
        <v>2</v>
      </c>
      <c r="G107" s="102" t="s">
        <v>3</v>
      </c>
      <c r="H107" s="102" t="s">
        <v>4</v>
      </c>
      <c r="I107" s="102" t="s">
        <v>5</v>
      </c>
      <c r="J107" s="102" t="s">
        <v>6</v>
      </c>
      <c r="K107" s="104" t="s">
        <v>7</v>
      </c>
      <c r="O107" s="49"/>
      <c r="P107" s="49"/>
    </row>
    <row r="108" spans="1:16" x14ac:dyDescent="0.35">
      <c r="A108" s="146"/>
      <c r="B108" s="27">
        <v>1</v>
      </c>
      <c r="C108" s="27">
        <v>2</v>
      </c>
      <c r="D108" s="27">
        <v>3</v>
      </c>
      <c r="E108" s="27">
        <v>4</v>
      </c>
      <c r="F108" s="103"/>
      <c r="G108" s="103"/>
      <c r="H108" s="103"/>
      <c r="I108" s="103"/>
      <c r="J108" s="103"/>
      <c r="K108" s="105"/>
      <c r="O108" s="49"/>
      <c r="P108" s="49"/>
    </row>
    <row r="109" spans="1:16" ht="23.5" x14ac:dyDescent="0.55000000000000004">
      <c r="A109" s="106" t="s">
        <v>15</v>
      </c>
      <c r="B109" s="107"/>
      <c r="C109" s="107"/>
      <c r="D109" s="107"/>
      <c r="E109" s="107"/>
      <c r="F109" s="107"/>
      <c r="G109" s="107"/>
      <c r="H109" s="107"/>
      <c r="I109" s="107"/>
      <c r="J109" s="107"/>
      <c r="K109" s="108"/>
      <c r="O109" s="49"/>
      <c r="P109" s="49"/>
    </row>
    <row r="110" spans="1:16" x14ac:dyDescent="0.35">
      <c r="A110" s="28"/>
      <c r="B110" s="14"/>
      <c r="C110" s="14"/>
      <c r="D110" s="14"/>
      <c r="E110" s="14"/>
      <c r="F110" s="34" t="s">
        <v>104</v>
      </c>
      <c r="G110" s="35" t="e">
        <f>#REF!</f>
        <v>#REF!</v>
      </c>
      <c r="H110" s="36">
        <v>2.06</v>
      </c>
      <c r="I110" s="28"/>
      <c r="J110" s="39">
        <f>I110*H110</f>
        <v>0</v>
      </c>
      <c r="K110" s="40">
        <f>(SUM(A110:E110))-I110</f>
        <v>0</v>
      </c>
      <c r="O110" s="49"/>
      <c r="P110" s="49"/>
    </row>
    <row r="111" spans="1:16" x14ac:dyDescent="0.35">
      <c r="A111" s="17"/>
      <c r="B111" s="15"/>
      <c r="C111" s="15"/>
      <c r="D111" s="15"/>
      <c r="E111" s="15"/>
      <c r="F111" s="34" t="s">
        <v>103</v>
      </c>
      <c r="G111" s="35" t="e">
        <f>#REF!</f>
        <v>#REF!</v>
      </c>
      <c r="H111" s="36">
        <v>2.06</v>
      </c>
      <c r="I111" s="17"/>
      <c r="J111" s="39">
        <f t="shared" ref="J111:J125" si="10">I111*H111</f>
        <v>0</v>
      </c>
      <c r="K111" s="40">
        <f t="shared" ref="K111:K125" si="11">(SUM(A111:E111))-I111</f>
        <v>0</v>
      </c>
      <c r="O111" s="49"/>
      <c r="P111" s="49"/>
    </row>
    <row r="112" spans="1:16" x14ac:dyDescent="0.35">
      <c r="A112" s="17"/>
      <c r="B112" s="15"/>
      <c r="C112" s="15"/>
      <c r="D112" s="15"/>
      <c r="E112" s="15"/>
      <c r="F112" s="34" t="s">
        <v>100</v>
      </c>
      <c r="G112" s="35" t="e">
        <f>#REF!</f>
        <v>#REF!</v>
      </c>
      <c r="H112" s="36">
        <v>1.82</v>
      </c>
      <c r="I112" s="17"/>
      <c r="J112" s="39">
        <f t="shared" si="10"/>
        <v>0</v>
      </c>
      <c r="K112" s="40">
        <f t="shared" si="11"/>
        <v>0</v>
      </c>
      <c r="O112" s="49"/>
      <c r="P112" s="49"/>
    </row>
    <row r="113" spans="1:16" x14ac:dyDescent="0.35">
      <c r="A113" s="17"/>
      <c r="B113" s="15"/>
      <c r="C113" s="15"/>
      <c r="D113" s="15"/>
      <c r="E113" s="15"/>
      <c r="F113" s="34" t="s">
        <v>106</v>
      </c>
      <c r="G113" s="35" t="e">
        <f>#REF!</f>
        <v>#REF!</v>
      </c>
      <c r="H113" s="36">
        <v>2.5</v>
      </c>
      <c r="I113" s="17"/>
      <c r="J113" s="39">
        <f t="shared" si="10"/>
        <v>0</v>
      </c>
      <c r="K113" s="40">
        <f t="shared" si="11"/>
        <v>0</v>
      </c>
      <c r="O113" s="49"/>
      <c r="P113" s="49"/>
    </row>
    <row r="114" spans="1:16" x14ac:dyDescent="0.35">
      <c r="A114" s="17"/>
      <c r="B114" s="15"/>
      <c r="C114" s="15"/>
      <c r="D114" s="15"/>
      <c r="E114" s="15"/>
      <c r="F114" s="34" t="s">
        <v>175</v>
      </c>
      <c r="G114" s="35">
        <v>1</v>
      </c>
      <c r="H114" s="36">
        <v>2</v>
      </c>
      <c r="I114" s="17"/>
      <c r="J114" s="39">
        <f t="shared" si="10"/>
        <v>0</v>
      </c>
      <c r="K114" s="40">
        <f t="shared" si="11"/>
        <v>0</v>
      </c>
      <c r="O114" s="49"/>
      <c r="P114" s="49"/>
    </row>
    <row r="115" spans="1:16" x14ac:dyDescent="0.35">
      <c r="A115" s="17"/>
      <c r="B115" s="15"/>
      <c r="C115" s="15"/>
      <c r="D115" s="15"/>
      <c r="E115" s="15"/>
      <c r="F115" s="34" t="s">
        <v>16</v>
      </c>
      <c r="G115" s="35" t="e">
        <f>#REF!</f>
        <v>#REF!</v>
      </c>
      <c r="H115" s="36">
        <v>2.2000000000000002</v>
      </c>
      <c r="I115" s="17"/>
      <c r="J115" s="39">
        <f t="shared" si="10"/>
        <v>0</v>
      </c>
      <c r="K115" s="40">
        <f t="shared" si="11"/>
        <v>0</v>
      </c>
      <c r="O115" s="49"/>
      <c r="P115" s="49"/>
    </row>
    <row r="116" spans="1:16" x14ac:dyDescent="0.35">
      <c r="A116" s="17"/>
      <c r="B116" s="15"/>
      <c r="C116" s="15"/>
      <c r="D116" s="15"/>
      <c r="E116" s="15"/>
      <c r="F116" s="34" t="s">
        <v>17</v>
      </c>
      <c r="G116" s="35" t="e">
        <f>#REF!</f>
        <v>#REF!</v>
      </c>
      <c r="H116" s="36">
        <v>3</v>
      </c>
      <c r="I116" s="17"/>
      <c r="J116" s="39">
        <f t="shared" si="10"/>
        <v>0</v>
      </c>
      <c r="K116" s="40">
        <f t="shared" si="11"/>
        <v>0</v>
      </c>
      <c r="O116" s="49"/>
      <c r="P116" s="49"/>
    </row>
    <row r="117" spans="1:16" x14ac:dyDescent="0.35">
      <c r="A117" s="17"/>
      <c r="B117" s="15"/>
      <c r="C117" s="15"/>
      <c r="D117" s="15"/>
      <c r="E117" s="15"/>
      <c r="F117" s="34" t="s">
        <v>105</v>
      </c>
      <c r="G117" s="35" t="e">
        <f>#REF!</f>
        <v>#REF!</v>
      </c>
      <c r="H117" s="36">
        <v>2.14</v>
      </c>
      <c r="I117" s="17"/>
      <c r="J117" s="39">
        <f t="shared" si="10"/>
        <v>0</v>
      </c>
      <c r="K117" s="40">
        <f t="shared" si="11"/>
        <v>0</v>
      </c>
      <c r="O117" s="49"/>
      <c r="P117" s="49"/>
    </row>
    <row r="118" spans="1:16" x14ac:dyDescent="0.35">
      <c r="A118" s="31"/>
      <c r="B118" s="15"/>
      <c r="C118" s="15"/>
      <c r="D118" s="15"/>
      <c r="E118" s="15"/>
      <c r="F118" s="34" t="s">
        <v>102</v>
      </c>
      <c r="G118" s="35" t="e">
        <f>#REF!</f>
        <v>#REF!</v>
      </c>
      <c r="H118" s="36">
        <v>2.06</v>
      </c>
      <c r="I118" s="31"/>
      <c r="J118" s="39">
        <f t="shared" si="10"/>
        <v>0</v>
      </c>
      <c r="K118" s="40">
        <f t="shared" si="11"/>
        <v>0</v>
      </c>
      <c r="O118" s="49"/>
      <c r="P118" s="49"/>
    </row>
    <row r="119" spans="1:16" x14ac:dyDescent="0.35">
      <c r="A119" s="17"/>
      <c r="B119" s="15"/>
      <c r="C119" s="15"/>
      <c r="D119" s="15"/>
      <c r="E119" s="15"/>
      <c r="F119" s="34" t="s">
        <v>44</v>
      </c>
      <c r="G119" s="35" t="e">
        <f>#REF!</f>
        <v>#REF!</v>
      </c>
      <c r="H119" s="36">
        <v>2.08</v>
      </c>
      <c r="I119" s="17"/>
      <c r="J119" s="39">
        <f t="shared" si="10"/>
        <v>0</v>
      </c>
      <c r="K119" s="40">
        <f t="shared" si="11"/>
        <v>0</v>
      </c>
      <c r="O119" s="49"/>
      <c r="P119" s="49"/>
    </row>
    <row r="120" spans="1:16" x14ac:dyDescent="0.35">
      <c r="A120" s="17"/>
      <c r="B120" s="15"/>
      <c r="C120" s="15"/>
      <c r="D120" s="15"/>
      <c r="E120" s="15"/>
      <c r="F120" s="34" t="s">
        <v>107</v>
      </c>
      <c r="G120" s="35" t="e">
        <f>#REF!</f>
        <v>#REF!</v>
      </c>
      <c r="H120" s="36">
        <v>2.33</v>
      </c>
      <c r="I120" s="17"/>
      <c r="J120" s="39">
        <f t="shared" si="10"/>
        <v>0</v>
      </c>
      <c r="K120" s="40">
        <f t="shared" si="11"/>
        <v>0</v>
      </c>
      <c r="O120" s="49"/>
      <c r="P120" s="49"/>
    </row>
    <row r="121" spans="1:16" x14ac:dyDescent="0.35">
      <c r="A121" s="17"/>
      <c r="B121" s="15"/>
      <c r="C121" s="15"/>
      <c r="D121" s="15"/>
      <c r="E121" s="15"/>
      <c r="F121" s="34" t="s">
        <v>101</v>
      </c>
      <c r="G121" s="35" t="e">
        <f>#REF!</f>
        <v>#REF!</v>
      </c>
      <c r="H121" s="36">
        <v>1.82</v>
      </c>
      <c r="I121" s="17"/>
      <c r="J121" s="39">
        <f t="shared" si="10"/>
        <v>0</v>
      </c>
      <c r="K121" s="40">
        <f t="shared" si="11"/>
        <v>0</v>
      </c>
      <c r="O121" s="49"/>
      <c r="P121" s="49"/>
    </row>
    <row r="122" spans="1:16" x14ac:dyDescent="0.35">
      <c r="A122" s="17"/>
      <c r="B122" s="15"/>
      <c r="C122" s="15"/>
      <c r="D122" s="15"/>
      <c r="E122" s="15"/>
      <c r="F122" s="34" t="s">
        <v>108</v>
      </c>
      <c r="G122" s="35" t="e">
        <f>#REF!</f>
        <v>#REF!</v>
      </c>
      <c r="H122" s="36">
        <v>1.5</v>
      </c>
      <c r="I122" s="17"/>
      <c r="J122" s="39">
        <f t="shared" si="10"/>
        <v>0</v>
      </c>
      <c r="K122" s="40">
        <f t="shared" si="11"/>
        <v>0</v>
      </c>
      <c r="O122" s="49"/>
      <c r="P122" s="49"/>
    </row>
    <row r="123" spans="1:16" x14ac:dyDescent="0.35">
      <c r="A123" s="17"/>
      <c r="B123" s="15"/>
      <c r="C123" s="15"/>
      <c r="D123" s="15"/>
      <c r="E123" s="15"/>
      <c r="F123" s="34" t="s">
        <v>18</v>
      </c>
      <c r="G123" s="35" t="e">
        <f>#REF!</f>
        <v>#REF!</v>
      </c>
      <c r="H123" s="36">
        <v>2.1</v>
      </c>
      <c r="I123" s="17"/>
      <c r="J123" s="39">
        <f t="shared" si="10"/>
        <v>0</v>
      </c>
      <c r="K123" s="40">
        <f t="shared" si="11"/>
        <v>0</v>
      </c>
      <c r="O123" s="49"/>
      <c r="P123" s="49"/>
    </row>
    <row r="124" spans="1:16" x14ac:dyDescent="0.35">
      <c r="A124" s="17"/>
      <c r="B124" s="15"/>
      <c r="C124" s="15"/>
      <c r="D124" s="15"/>
      <c r="E124" s="15"/>
      <c r="F124" s="34" t="s">
        <v>99</v>
      </c>
      <c r="G124" s="35" t="e">
        <f>#REF!</f>
        <v>#REF!</v>
      </c>
      <c r="H124" s="36">
        <v>2.41</v>
      </c>
      <c r="I124" s="17"/>
      <c r="J124" s="39">
        <f t="shared" si="10"/>
        <v>0</v>
      </c>
      <c r="K124" s="40">
        <f t="shared" si="11"/>
        <v>0</v>
      </c>
      <c r="O124" s="49"/>
      <c r="P124" s="49"/>
    </row>
    <row r="125" spans="1:16" ht="20.149999999999999" customHeight="1" x14ac:dyDescent="0.35">
      <c r="A125" s="17"/>
      <c r="B125" s="15"/>
      <c r="C125" s="15"/>
      <c r="D125" s="15"/>
      <c r="E125" s="15"/>
      <c r="F125" s="34" t="s">
        <v>19</v>
      </c>
      <c r="G125" s="35" t="e">
        <f>#REF!</f>
        <v>#REF!</v>
      </c>
      <c r="H125" s="36">
        <v>2.5499999999999998</v>
      </c>
      <c r="I125" s="17"/>
      <c r="J125" s="39">
        <f t="shared" si="10"/>
        <v>0</v>
      </c>
      <c r="K125" s="40">
        <f t="shared" si="11"/>
        <v>0</v>
      </c>
    </row>
    <row r="126" spans="1:16" ht="20.149999999999999" customHeight="1" x14ac:dyDescent="0.35">
      <c r="A126" s="91" t="s">
        <v>117</v>
      </c>
      <c r="B126" s="92"/>
      <c r="C126" s="92"/>
      <c r="D126" s="92"/>
      <c r="E126" s="92"/>
      <c r="F126" s="92"/>
      <c r="G126" s="92"/>
      <c r="H126" s="92"/>
      <c r="I126" s="92"/>
      <c r="J126" s="92"/>
      <c r="K126" s="93"/>
    </row>
    <row r="127" spans="1:16" ht="20.149999999999999" customHeight="1" x14ac:dyDescent="0.35">
      <c r="A127" s="62"/>
      <c r="B127" s="15"/>
      <c r="C127" s="15"/>
      <c r="D127" s="15"/>
      <c r="E127" s="15"/>
      <c r="F127" s="34" t="s">
        <v>116</v>
      </c>
      <c r="G127" s="35" t="e">
        <f>#REF!</f>
        <v>#REF!</v>
      </c>
      <c r="H127" s="36">
        <v>2.7</v>
      </c>
      <c r="I127" s="17"/>
      <c r="J127" s="39">
        <f t="shared" ref="J127:J132" si="12">I127*H127</f>
        <v>0</v>
      </c>
      <c r="K127" s="40">
        <f t="shared" ref="K127:K135" si="13">(SUM(A127:E127))-I127</f>
        <v>0</v>
      </c>
    </row>
    <row r="128" spans="1:16" ht="20.149999999999999" customHeight="1" x14ac:dyDescent="0.35">
      <c r="A128" s="62"/>
      <c r="B128" s="15"/>
      <c r="C128" s="15"/>
      <c r="D128" s="15"/>
      <c r="E128" s="15"/>
      <c r="F128" s="34" t="s">
        <v>115</v>
      </c>
      <c r="G128" s="35" t="e">
        <f>#REF!</f>
        <v>#REF!</v>
      </c>
      <c r="H128" s="36">
        <v>3.12</v>
      </c>
      <c r="I128" s="17"/>
      <c r="J128" s="39">
        <f t="shared" si="12"/>
        <v>0</v>
      </c>
      <c r="K128" s="40">
        <f t="shared" si="13"/>
        <v>0</v>
      </c>
    </row>
    <row r="129" spans="1:11" ht="20.149999999999999" customHeight="1" x14ac:dyDescent="0.35">
      <c r="A129" s="62"/>
      <c r="B129" s="15"/>
      <c r="C129" s="15"/>
      <c r="D129" s="15"/>
      <c r="E129" s="15"/>
      <c r="F129" s="34" t="s">
        <v>114</v>
      </c>
      <c r="G129" s="35" t="e">
        <f>#REF!</f>
        <v>#REF!</v>
      </c>
      <c r="H129" s="36">
        <v>2.4900000000000002</v>
      </c>
      <c r="I129" s="17"/>
      <c r="J129" s="39">
        <f t="shared" si="12"/>
        <v>0</v>
      </c>
      <c r="K129" s="40">
        <f t="shared" si="13"/>
        <v>0</v>
      </c>
    </row>
    <row r="130" spans="1:11" ht="20.149999999999999" customHeight="1" x14ac:dyDescent="0.35">
      <c r="A130" s="62"/>
      <c r="B130" s="15"/>
      <c r="C130" s="15"/>
      <c r="D130" s="15"/>
      <c r="E130" s="15"/>
      <c r="F130" s="34" t="s">
        <v>109</v>
      </c>
      <c r="G130" s="35" t="e">
        <f>#REF!</f>
        <v>#REF!</v>
      </c>
      <c r="H130" s="36">
        <v>2.7</v>
      </c>
      <c r="I130" s="17"/>
      <c r="J130" s="39">
        <f t="shared" si="12"/>
        <v>0</v>
      </c>
      <c r="K130" s="40">
        <f t="shared" si="13"/>
        <v>0</v>
      </c>
    </row>
    <row r="131" spans="1:11" ht="20.149999999999999" customHeight="1" x14ac:dyDescent="0.35">
      <c r="A131" s="62"/>
      <c r="B131" s="15"/>
      <c r="C131" s="15"/>
      <c r="D131" s="15"/>
      <c r="E131" s="15"/>
      <c r="F131" s="34" t="s">
        <v>110</v>
      </c>
      <c r="G131" s="35" t="e">
        <f>#REF!</f>
        <v>#REF!</v>
      </c>
      <c r="H131" s="36">
        <v>2.7</v>
      </c>
      <c r="I131" s="17"/>
      <c r="J131" s="39">
        <f t="shared" si="12"/>
        <v>0</v>
      </c>
      <c r="K131" s="40">
        <f t="shared" si="13"/>
        <v>0</v>
      </c>
    </row>
    <row r="132" spans="1:11" ht="20.149999999999999" customHeight="1" x14ac:dyDescent="0.35">
      <c r="A132" s="62"/>
      <c r="B132" s="15"/>
      <c r="C132" s="15"/>
      <c r="D132" s="15"/>
      <c r="E132" s="15"/>
      <c r="F132" s="34" t="s">
        <v>111</v>
      </c>
      <c r="G132" s="35" t="e">
        <f>#REF!</f>
        <v>#REF!</v>
      </c>
      <c r="H132" s="36">
        <v>2.7</v>
      </c>
      <c r="I132" s="17"/>
      <c r="J132" s="39">
        <f t="shared" si="12"/>
        <v>0</v>
      </c>
      <c r="K132" s="40">
        <f t="shared" si="13"/>
        <v>0</v>
      </c>
    </row>
    <row r="133" spans="1:11" x14ac:dyDescent="0.35">
      <c r="A133" s="62"/>
      <c r="B133" s="15"/>
      <c r="C133" s="15"/>
      <c r="D133" s="15"/>
      <c r="E133" s="15"/>
      <c r="F133" s="34" t="s">
        <v>113</v>
      </c>
      <c r="G133" s="35" t="e">
        <f>#REF!</f>
        <v>#REF!</v>
      </c>
      <c r="H133" s="36">
        <v>2.33</v>
      </c>
      <c r="I133" s="17"/>
      <c r="J133" s="39">
        <v>0</v>
      </c>
      <c r="K133" s="40">
        <f t="shared" si="13"/>
        <v>0</v>
      </c>
    </row>
    <row r="134" spans="1:11" ht="20.149999999999999" customHeight="1" x14ac:dyDescent="0.35">
      <c r="A134" s="62"/>
      <c r="B134" s="15"/>
      <c r="C134" s="15"/>
      <c r="D134" s="15"/>
      <c r="E134" s="15"/>
      <c r="F134" s="34" t="s">
        <v>72</v>
      </c>
      <c r="G134" s="35" t="e">
        <f>#REF!</f>
        <v>#REF!</v>
      </c>
      <c r="H134" s="36">
        <v>3.24</v>
      </c>
      <c r="I134" s="17"/>
      <c r="J134" s="39">
        <f>I134*H134</f>
        <v>0</v>
      </c>
      <c r="K134" s="40">
        <f t="shared" si="13"/>
        <v>0</v>
      </c>
    </row>
    <row r="135" spans="1:11" ht="15" thickBot="1" x14ac:dyDescent="0.4">
      <c r="A135" s="62"/>
      <c r="B135" s="18"/>
      <c r="C135" s="18"/>
      <c r="D135" s="18"/>
      <c r="E135" s="18"/>
      <c r="F135" s="41" t="s">
        <v>112</v>
      </c>
      <c r="G135" s="42" t="e">
        <f>#REF!</f>
        <v>#REF!</v>
      </c>
      <c r="H135" s="43">
        <v>2.41</v>
      </c>
      <c r="I135" s="29"/>
      <c r="J135" s="44">
        <f>I135*H135</f>
        <v>0</v>
      </c>
      <c r="K135" s="45">
        <f t="shared" si="13"/>
        <v>0</v>
      </c>
    </row>
    <row r="136" spans="1:11" ht="15" customHeight="1" thickBot="1" x14ac:dyDescent="0.6">
      <c r="A136" s="84" t="s">
        <v>9</v>
      </c>
      <c r="B136" s="85"/>
      <c r="C136" s="85"/>
      <c r="D136" s="85"/>
      <c r="E136" s="85"/>
      <c r="F136" s="85"/>
      <c r="G136" s="85"/>
      <c r="H136" s="85"/>
      <c r="I136" s="86"/>
      <c r="J136" s="87">
        <v>1757.8899999999999</v>
      </c>
      <c r="K136" s="88"/>
    </row>
    <row r="137" spans="1:11" ht="24" thickBot="1" x14ac:dyDescent="0.6">
      <c r="A137" s="84" t="s">
        <v>21</v>
      </c>
      <c r="B137" s="85"/>
      <c r="C137" s="85"/>
      <c r="D137" s="85"/>
      <c r="E137" s="85"/>
      <c r="F137" s="85"/>
      <c r="G137" s="85"/>
      <c r="H137" s="85"/>
      <c r="I137" s="86"/>
      <c r="J137" s="89">
        <v>0</v>
      </c>
      <c r="K137" s="90"/>
    </row>
    <row r="138" spans="1:11" ht="24" thickBot="1" x14ac:dyDescent="0.6">
      <c r="A138" s="84" t="s">
        <v>55</v>
      </c>
      <c r="B138" s="85"/>
      <c r="C138" s="85"/>
      <c r="D138" s="85"/>
      <c r="E138" s="85"/>
      <c r="F138" s="85"/>
      <c r="G138" s="85"/>
      <c r="H138" s="85"/>
      <c r="I138" s="86"/>
      <c r="J138" s="89">
        <v>0</v>
      </c>
      <c r="K138" s="90"/>
    </row>
    <row r="139" spans="1:11" ht="24" thickBot="1" x14ac:dyDescent="0.6">
      <c r="A139" s="84" t="s">
        <v>11</v>
      </c>
      <c r="B139" s="85"/>
      <c r="C139" s="85"/>
      <c r="D139" s="85"/>
      <c r="E139" s="85"/>
      <c r="F139" s="85"/>
      <c r="G139" s="85"/>
      <c r="H139" s="85"/>
      <c r="I139" s="86"/>
      <c r="J139" s="87">
        <f>SUM(J110:J135)</f>
        <v>0</v>
      </c>
      <c r="K139" s="88"/>
    </row>
    <row r="140" spans="1:11" ht="20.149999999999999" customHeight="1" thickBot="1" x14ac:dyDescent="0.6">
      <c r="A140" s="84" t="s">
        <v>22</v>
      </c>
      <c r="B140" s="85"/>
      <c r="C140" s="85"/>
      <c r="D140" s="85"/>
      <c r="E140" s="85"/>
      <c r="F140" s="85"/>
      <c r="G140" s="85"/>
      <c r="H140" s="85"/>
      <c r="I140" s="86"/>
      <c r="J140" s="89">
        <v>1739.25</v>
      </c>
      <c r="K140" s="90"/>
    </row>
    <row r="141" spans="1:11" ht="20.149999999999999" customHeight="1" thickBot="1" x14ac:dyDescent="0.6">
      <c r="A141" s="84" t="s">
        <v>23</v>
      </c>
      <c r="B141" s="85"/>
      <c r="C141" s="85"/>
      <c r="D141" s="85"/>
      <c r="E141" s="85"/>
      <c r="F141" s="85"/>
      <c r="G141" s="85"/>
      <c r="H141" s="85"/>
      <c r="I141" s="86"/>
      <c r="J141" s="87">
        <f>J136+J137+J138-J139</f>
        <v>1757.8899999999999</v>
      </c>
      <c r="K141" s="88"/>
    </row>
    <row r="142" spans="1:11" ht="20.149999999999999" customHeight="1" thickBot="1" x14ac:dyDescent="0.6">
      <c r="A142" s="109" t="s">
        <v>24</v>
      </c>
      <c r="B142" s="110"/>
      <c r="C142" s="110"/>
      <c r="D142" s="110"/>
      <c r="E142" s="110"/>
      <c r="F142" s="110"/>
      <c r="G142" s="110"/>
      <c r="H142" s="110"/>
      <c r="I142" s="111"/>
      <c r="J142" s="112">
        <f>J141/J140</f>
        <v>1.0107172631881558</v>
      </c>
      <c r="K142" s="113"/>
    </row>
    <row r="143" spans="1:11" ht="20.149999999999999" customHeight="1" thickBot="1" x14ac:dyDescent="0.6">
      <c r="A143" s="109" t="s">
        <v>56</v>
      </c>
      <c r="B143" s="110"/>
      <c r="C143" s="110"/>
      <c r="D143" s="110"/>
      <c r="E143" s="110"/>
      <c r="F143" s="110"/>
      <c r="G143" s="110"/>
      <c r="H143" s="110"/>
      <c r="I143" s="111"/>
      <c r="J143" s="112">
        <f>((G224+G225+G227-J139)/G226)</f>
        <v>1.0107172631881558</v>
      </c>
      <c r="K143" s="113"/>
    </row>
    <row r="144" spans="1:11" ht="20.149999999999999" customHeight="1" x14ac:dyDescent="0.35">
      <c r="A144" s="145" t="s">
        <v>0</v>
      </c>
      <c r="B144" s="147" t="s">
        <v>1</v>
      </c>
      <c r="C144" s="148"/>
      <c r="D144" s="148"/>
      <c r="E144" s="149"/>
      <c r="F144" s="102" t="s">
        <v>2</v>
      </c>
      <c r="G144" s="120" t="s">
        <v>66</v>
      </c>
      <c r="H144" s="102" t="s">
        <v>4</v>
      </c>
      <c r="I144" s="102" t="s">
        <v>5</v>
      </c>
      <c r="J144" s="102" t="s">
        <v>6</v>
      </c>
      <c r="K144" s="104" t="s">
        <v>7</v>
      </c>
    </row>
    <row r="145" spans="1:11" ht="20.149999999999999" customHeight="1" x14ac:dyDescent="0.35">
      <c r="A145" s="146"/>
      <c r="B145" s="27">
        <v>1</v>
      </c>
      <c r="C145" s="27">
        <v>2</v>
      </c>
      <c r="D145" s="27">
        <v>3</v>
      </c>
      <c r="E145" s="27">
        <v>4</v>
      </c>
      <c r="F145" s="103"/>
      <c r="G145" s="121"/>
      <c r="H145" s="103"/>
      <c r="I145" s="103"/>
      <c r="J145" s="103"/>
      <c r="K145" s="105"/>
    </row>
    <row r="146" spans="1:11" ht="20.149999999999999" customHeight="1" x14ac:dyDescent="0.55000000000000004">
      <c r="A146" s="106" t="s">
        <v>61</v>
      </c>
      <c r="B146" s="107"/>
      <c r="C146" s="107"/>
      <c r="D146" s="107"/>
      <c r="E146" s="107"/>
      <c r="F146" s="107"/>
      <c r="G146" s="107"/>
      <c r="H146" s="107"/>
      <c r="I146" s="107"/>
      <c r="J146" s="107"/>
      <c r="K146" s="108"/>
    </row>
    <row r="147" spans="1:11" ht="20.149999999999999" customHeight="1" x14ac:dyDescent="0.35">
      <c r="A147" s="62"/>
      <c r="B147" s="14"/>
      <c r="C147" s="14"/>
      <c r="D147" s="14"/>
      <c r="E147" s="14"/>
      <c r="F147" s="34" t="s">
        <v>121</v>
      </c>
      <c r="G147" s="35" t="e">
        <f>#REF!</f>
        <v>#REF!</v>
      </c>
      <c r="H147" s="36"/>
      <c r="I147" s="28">
        <v>0</v>
      </c>
      <c r="J147" s="39" t="e">
        <f>(I147/G147)*H147</f>
        <v>#REF!</v>
      </c>
      <c r="K147" s="40">
        <f>(SUM(A147:E147))-I147</f>
        <v>0</v>
      </c>
    </row>
    <row r="148" spans="1:11" x14ac:dyDescent="0.35">
      <c r="A148" s="30"/>
      <c r="B148" s="14"/>
      <c r="C148" s="14"/>
      <c r="D148" s="14"/>
      <c r="E148" s="14"/>
      <c r="F148" s="34" t="s">
        <v>116</v>
      </c>
      <c r="G148" s="35">
        <v>179.99</v>
      </c>
      <c r="H148" s="36"/>
      <c r="I148" s="28">
        <v>0</v>
      </c>
      <c r="J148" s="39">
        <f>(I148/G148)*H148</f>
        <v>0</v>
      </c>
      <c r="K148" s="40">
        <f>(SUM(A148:E148))-I148</f>
        <v>0</v>
      </c>
    </row>
    <row r="149" spans="1:11" x14ac:dyDescent="0.35">
      <c r="A149" s="30"/>
      <c r="B149" s="14"/>
      <c r="C149" s="14"/>
      <c r="D149" s="14"/>
      <c r="E149" s="14"/>
      <c r="F149" s="34" t="s">
        <v>20</v>
      </c>
      <c r="G149" s="35" t="e">
        <f>#REF!</f>
        <v>#REF!</v>
      </c>
      <c r="H149" s="36"/>
      <c r="I149" s="28">
        <v>0</v>
      </c>
      <c r="J149" s="39" t="e">
        <f>(I149/G149)*H149</f>
        <v>#REF!</v>
      </c>
      <c r="K149" s="40">
        <f>(SUM(A149:E149))-I149</f>
        <v>0</v>
      </c>
    </row>
    <row r="150" spans="1:11" ht="15" thickBot="1" x14ac:dyDescent="0.4">
      <c r="A150" s="30"/>
      <c r="B150" s="14"/>
      <c r="C150" s="14"/>
      <c r="D150" s="14"/>
      <c r="E150" s="14"/>
      <c r="F150" s="34" t="e">
        <f>#REF!</f>
        <v>#REF!</v>
      </c>
      <c r="G150" s="35" t="e">
        <f>#REF!</f>
        <v>#REF!</v>
      </c>
      <c r="H150" s="36" t="e">
        <f>#REF!</f>
        <v>#REF!</v>
      </c>
      <c r="I150" s="28">
        <v>0</v>
      </c>
      <c r="J150" s="39" t="e">
        <f>(I150/G150)*H150</f>
        <v>#REF!</v>
      </c>
      <c r="K150" s="40">
        <f>(SUM(A150:E150))-I150</f>
        <v>0</v>
      </c>
    </row>
    <row r="151" spans="1:11" ht="15" customHeight="1" thickBot="1" x14ac:dyDescent="0.6">
      <c r="A151" s="84" t="s">
        <v>9</v>
      </c>
      <c r="B151" s="85"/>
      <c r="C151" s="85"/>
      <c r="D151" s="85"/>
      <c r="E151" s="85"/>
      <c r="F151" s="85"/>
      <c r="G151" s="85"/>
      <c r="H151" s="85"/>
      <c r="I151" s="86"/>
      <c r="J151" s="87">
        <v>436.28818840579714</v>
      </c>
      <c r="K151" s="88"/>
    </row>
    <row r="152" spans="1:11" ht="24" thickBot="1" x14ac:dyDescent="0.6">
      <c r="A152" s="84" t="s">
        <v>62</v>
      </c>
      <c r="B152" s="85"/>
      <c r="C152" s="85"/>
      <c r="D152" s="85"/>
      <c r="E152" s="85"/>
      <c r="F152" s="85"/>
      <c r="G152" s="85"/>
      <c r="H152" s="85"/>
      <c r="I152" s="86"/>
      <c r="J152" s="89">
        <v>0</v>
      </c>
      <c r="K152" s="90"/>
    </row>
    <row r="153" spans="1:11" ht="15" customHeight="1" thickBot="1" x14ac:dyDescent="0.6">
      <c r="A153" s="84" t="s">
        <v>55</v>
      </c>
      <c r="B153" s="85"/>
      <c r="C153" s="85"/>
      <c r="D153" s="85"/>
      <c r="E153" s="85"/>
      <c r="F153" s="85"/>
      <c r="G153" s="85"/>
      <c r="H153" s="85"/>
      <c r="I153" s="86"/>
      <c r="J153" s="89">
        <v>0</v>
      </c>
      <c r="K153" s="90"/>
    </row>
    <row r="154" spans="1:11" ht="24" thickBot="1" x14ac:dyDescent="0.6">
      <c r="A154" s="84" t="s">
        <v>11</v>
      </c>
      <c r="B154" s="85"/>
      <c r="C154" s="85"/>
      <c r="D154" s="85"/>
      <c r="E154" s="85"/>
      <c r="F154" s="85"/>
      <c r="G154" s="85"/>
      <c r="H154" s="85"/>
      <c r="I154" s="86"/>
      <c r="J154" s="87" t="e">
        <f>J147+J148+J149</f>
        <v>#REF!</v>
      </c>
      <c r="K154" s="88"/>
    </row>
    <row r="155" spans="1:11" ht="24" thickBot="1" x14ac:dyDescent="0.6">
      <c r="A155" s="84" t="s">
        <v>63</v>
      </c>
      <c r="B155" s="85"/>
      <c r="C155" s="85"/>
      <c r="D155" s="85"/>
      <c r="E155" s="85"/>
      <c r="F155" s="85"/>
      <c r="G155" s="85"/>
      <c r="H155" s="85"/>
      <c r="I155" s="86"/>
      <c r="J155" s="89">
        <v>599.5</v>
      </c>
      <c r="K155" s="90"/>
    </row>
    <row r="156" spans="1:11" ht="24" thickBot="1" x14ac:dyDescent="0.6">
      <c r="A156" s="84" t="s">
        <v>64</v>
      </c>
      <c r="B156" s="85"/>
      <c r="C156" s="85"/>
      <c r="D156" s="85"/>
      <c r="E156" s="85"/>
      <c r="F156" s="85"/>
      <c r="G156" s="85"/>
      <c r="H156" s="85"/>
      <c r="I156" s="86"/>
      <c r="J156" s="87" t="e">
        <f>J151+J152+J153-J154</f>
        <v>#REF!</v>
      </c>
      <c r="K156" s="88"/>
    </row>
    <row r="157" spans="1:11" ht="24" thickBot="1" x14ac:dyDescent="0.6">
      <c r="A157" s="109" t="s">
        <v>65</v>
      </c>
      <c r="B157" s="110"/>
      <c r="C157" s="110"/>
      <c r="D157" s="110"/>
      <c r="E157" s="110"/>
      <c r="F157" s="110"/>
      <c r="G157" s="110"/>
      <c r="H157" s="110"/>
      <c r="I157" s="111"/>
      <c r="J157" s="112" t="e">
        <f>J156/J155</f>
        <v>#REF!</v>
      </c>
      <c r="K157" s="113"/>
    </row>
    <row r="158" spans="1:11" ht="24" thickBot="1" x14ac:dyDescent="0.6">
      <c r="A158" s="109" t="s">
        <v>56</v>
      </c>
      <c r="B158" s="110"/>
      <c r="C158" s="110"/>
      <c r="D158" s="110"/>
      <c r="E158" s="110"/>
      <c r="F158" s="110"/>
      <c r="G158" s="110"/>
      <c r="H158" s="110"/>
      <c r="I158" s="111"/>
      <c r="J158" s="112">
        <f>((G224+G225+G227-J139)/G226)</f>
        <v>1.0107172631881558</v>
      </c>
      <c r="K158" s="113"/>
    </row>
    <row r="159" spans="1:11" x14ac:dyDescent="0.35">
      <c r="A159" s="145" t="s">
        <v>0</v>
      </c>
      <c r="B159" s="147" t="s">
        <v>1</v>
      </c>
      <c r="C159" s="148"/>
      <c r="D159" s="148"/>
      <c r="E159" s="149"/>
      <c r="F159" s="102" t="s">
        <v>2</v>
      </c>
      <c r="G159" s="120" t="s">
        <v>53</v>
      </c>
      <c r="H159" s="102" t="s">
        <v>4</v>
      </c>
      <c r="I159" s="102" t="s">
        <v>5</v>
      </c>
      <c r="J159" s="102" t="s">
        <v>6</v>
      </c>
      <c r="K159" s="104" t="s">
        <v>7</v>
      </c>
    </row>
    <row r="160" spans="1:11" ht="15" thickBot="1" x14ac:dyDescent="0.4">
      <c r="A160" s="158"/>
      <c r="B160" s="27">
        <v>1</v>
      </c>
      <c r="C160" s="27">
        <v>2</v>
      </c>
      <c r="D160" s="27">
        <v>3</v>
      </c>
      <c r="E160" s="27">
        <v>4</v>
      </c>
      <c r="F160" s="150"/>
      <c r="G160" s="159"/>
      <c r="H160" s="150"/>
      <c r="I160" s="150"/>
      <c r="J160" s="150"/>
      <c r="K160" s="151"/>
    </row>
    <row r="161" spans="1:11" ht="24" thickBot="1" x14ac:dyDescent="0.6">
      <c r="A161" s="152" t="s">
        <v>25</v>
      </c>
      <c r="B161" s="153"/>
      <c r="C161" s="153"/>
      <c r="D161" s="153"/>
      <c r="E161" s="153"/>
      <c r="F161" s="153"/>
      <c r="G161" s="153"/>
      <c r="H161" s="153"/>
      <c r="I161" s="153"/>
      <c r="J161" s="153"/>
      <c r="K161" s="154"/>
    </row>
    <row r="162" spans="1:11" x14ac:dyDescent="0.35">
      <c r="A162" s="17"/>
      <c r="B162" s="14"/>
      <c r="C162" s="14"/>
      <c r="D162" s="14"/>
      <c r="E162" s="14"/>
      <c r="F162" s="34" t="s">
        <v>174</v>
      </c>
      <c r="G162" s="35">
        <v>147</v>
      </c>
      <c r="H162" s="36"/>
      <c r="I162" s="28"/>
      <c r="J162" s="37">
        <f>IF(G162=0,0,(I162/G162)*H162)</f>
        <v>0</v>
      </c>
      <c r="K162" s="38">
        <f>IF(G162=0,0,(((SUM(A162:E162)/G162)-(I162/G162))*26))</f>
        <v>0</v>
      </c>
    </row>
    <row r="163" spans="1:11" x14ac:dyDescent="0.35">
      <c r="A163" s="17"/>
      <c r="B163" s="15"/>
      <c r="C163" s="15"/>
      <c r="D163" s="15"/>
      <c r="E163" s="15"/>
      <c r="F163" s="34" t="s">
        <v>197</v>
      </c>
      <c r="G163" s="35" t="e">
        <f>#REF!</f>
        <v>#REF!</v>
      </c>
      <c r="H163" s="36"/>
      <c r="I163" s="17"/>
      <c r="J163" s="37" t="e">
        <f t="shared" ref="J163:J180" si="14">IF(G163=0,0,(I163/G163)*H163)</f>
        <v>#REF!</v>
      </c>
      <c r="K163" s="38" t="e">
        <f>IF(G163=0,0,(((SUM(A163:E163)/G163)-(I163/G163))*52))</f>
        <v>#REF!</v>
      </c>
    </row>
    <row r="164" spans="1:11" x14ac:dyDescent="0.35">
      <c r="A164" s="17"/>
      <c r="B164" s="15"/>
      <c r="C164" s="15"/>
      <c r="D164" s="15"/>
      <c r="E164" s="15"/>
      <c r="F164" s="34" t="s">
        <v>199</v>
      </c>
      <c r="G164" s="35" t="e">
        <f>#REF!</f>
        <v>#REF!</v>
      </c>
      <c r="H164" s="36"/>
      <c r="I164" s="17"/>
      <c r="J164" s="37" t="e">
        <f t="shared" si="14"/>
        <v>#REF!</v>
      </c>
      <c r="K164" s="38" t="e">
        <f t="shared" ref="K164:K170" si="15">IF(G164=0,0,(((SUM(A164:E164)/G164)-(I164/G164))*26))</f>
        <v>#REF!</v>
      </c>
    </row>
    <row r="165" spans="1:11" x14ac:dyDescent="0.35">
      <c r="A165" s="17"/>
      <c r="B165" s="15"/>
      <c r="C165" s="15"/>
      <c r="D165" s="15"/>
      <c r="E165" s="15"/>
      <c r="F165" s="34" t="s">
        <v>201</v>
      </c>
      <c r="G165" s="35" t="e">
        <f>#REF!</f>
        <v>#REF!</v>
      </c>
      <c r="H165" s="36"/>
      <c r="I165" s="17"/>
      <c r="J165" s="37" t="e">
        <f t="shared" si="14"/>
        <v>#REF!</v>
      </c>
      <c r="K165" s="38" t="e">
        <f>IF(G165=0,0,(((SUM(A165:E165)/G165)-(I165/G165))*52))</f>
        <v>#REF!</v>
      </c>
    </row>
    <row r="166" spans="1:11" x14ac:dyDescent="0.35">
      <c r="A166" s="29"/>
      <c r="B166" s="18"/>
      <c r="C166" s="18"/>
      <c r="D166" s="18"/>
      <c r="E166" s="18"/>
      <c r="F166" s="34" t="s">
        <v>202</v>
      </c>
      <c r="G166" s="35" t="e">
        <f>#REF!</f>
        <v>#REF!</v>
      </c>
      <c r="H166" s="36"/>
      <c r="I166" s="29"/>
      <c r="J166" s="37" t="e">
        <f t="shared" si="14"/>
        <v>#REF!</v>
      </c>
      <c r="K166" s="38" t="e">
        <f t="shared" si="15"/>
        <v>#REF!</v>
      </c>
    </row>
    <row r="167" spans="1:11" x14ac:dyDescent="0.35">
      <c r="A167" s="29"/>
      <c r="B167" s="18"/>
      <c r="C167" s="18"/>
      <c r="D167" s="18"/>
      <c r="E167" s="18"/>
      <c r="F167" s="34" t="s">
        <v>198</v>
      </c>
      <c r="G167" s="35" t="e">
        <f>#REF!</f>
        <v>#REF!</v>
      </c>
      <c r="H167" s="36"/>
      <c r="I167" s="29"/>
      <c r="J167" s="37" t="e">
        <f t="shared" si="14"/>
        <v>#REF!</v>
      </c>
      <c r="K167" s="38" t="e">
        <f>IF(G167=0,0,(((SUM(A167:E167)/G167)-(I167/G167))*52))</f>
        <v>#REF!</v>
      </c>
    </row>
    <row r="168" spans="1:11" x14ac:dyDescent="0.35">
      <c r="A168" s="29"/>
      <c r="B168" s="18"/>
      <c r="C168" s="18"/>
      <c r="D168" s="18"/>
      <c r="E168" s="18"/>
      <c r="F168" s="34" t="s">
        <v>200</v>
      </c>
      <c r="G168" s="35" t="e">
        <f>#REF!</f>
        <v>#REF!</v>
      </c>
      <c r="H168" s="36"/>
      <c r="I168" s="29"/>
      <c r="J168" s="37" t="e">
        <f t="shared" si="14"/>
        <v>#REF!</v>
      </c>
      <c r="K168" s="38" t="e">
        <f t="shared" si="15"/>
        <v>#REF!</v>
      </c>
    </row>
    <row r="169" spans="1:11" x14ac:dyDescent="0.35">
      <c r="A169" s="29"/>
      <c r="B169" s="18"/>
      <c r="C169" s="18"/>
      <c r="D169" s="18"/>
      <c r="E169" s="18"/>
      <c r="F169" s="34" t="s">
        <v>206</v>
      </c>
      <c r="G169" s="35" t="e">
        <f>#REF!</f>
        <v>#REF!</v>
      </c>
      <c r="H169" s="36"/>
      <c r="I169" s="29"/>
      <c r="J169" s="37" t="e">
        <f t="shared" si="14"/>
        <v>#REF!</v>
      </c>
      <c r="K169" s="38" t="e">
        <f>IF(G169=0,0,(((SUM(A169:E169)/G169)-(I169/G169))*52))</f>
        <v>#REF!</v>
      </c>
    </row>
    <row r="170" spans="1:11" x14ac:dyDescent="0.35">
      <c r="A170" s="29"/>
      <c r="B170" s="18"/>
      <c r="C170" s="18"/>
      <c r="D170" s="18"/>
      <c r="E170" s="18"/>
      <c r="F170" s="34" t="s">
        <v>207</v>
      </c>
      <c r="G170" s="35" t="e">
        <f>#REF!</f>
        <v>#REF!</v>
      </c>
      <c r="H170" s="36"/>
      <c r="I170" s="29"/>
      <c r="J170" s="37" t="e">
        <f t="shared" si="14"/>
        <v>#REF!</v>
      </c>
      <c r="K170" s="38" t="e">
        <f t="shared" si="15"/>
        <v>#REF!</v>
      </c>
    </row>
    <row r="171" spans="1:11" x14ac:dyDescent="0.35">
      <c r="A171" s="29"/>
      <c r="B171" s="18"/>
      <c r="C171" s="18"/>
      <c r="D171" s="18"/>
      <c r="E171" s="18"/>
      <c r="F171" s="34" t="s">
        <v>211</v>
      </c>
      <c r="G171" s="35"/>
      <c r="H171" s="36"/>
      <c r="I171" s="29"/>
      <c r="J171" s="37">
        <f t="shared" si="14"/>
        <v>0</v>
      </c>
      <c r="K171" s="38">
        <f>IF(G171=0,0,(((SUM(A171:E171)/G171)-(I171/G171))*52))</f>
        <v>0</v>
      </c>
    </row>
    <row r="172" spans="1:11" x14ac:dyDescent="0.35">
      <c r="A172" s="29"/>
      <c r="B172" s="18"/>
      <c r="C172" s="18"/>
      <c r="D172" s="18"/>
      <c r="E172" s="18"/>
      <c r="F172" s="34" t="s">
        <v>212</v>
      </c>
      <c r="G172" s="35">
        <v>40.950000000000003</v>
      </c>
      <c r="H172" s="36"/>
      <c r="I172" s="29"/>
      <c r="J172" s="37">
        <f t="shared" si="14"/>
        <v>0</v>
      </c>
      <c r="K172" s="38">
        <f t="shared" ref="K172:K180" si="16">IF(G172=0,0,(((SUM(A172:E172)/G172)-(I172/G172))*52))</f>
        <v>0</v>
      </c>
    </row>
    <row r="173" spans="1:11" x14ac:dyDescent="0.35">
      <c r="A173" s="29"/>
      <c r="B173" s="18"/>
      <c r="C173" s="18"/>
      <c r="D173" s="18"/>
      <c r="E173" s="18"/>
      <c r="F173" s="34" t="s">
        <v>211</v>
      </c>
      <c r="G173" s="35">
        <v>40.950000000000003</v>
      </c>
      <c r="H173" s="36"/>
      <c r="I173" s="29"/>
      <c r="J173" s="37">
        <f t="shared" si="14"/>
        <v>0</v>
      </c>
      <c r="K173" s="38">
        <f t="shared" si="16"/>
        <v>0</v>
      </c>
    </row>
    <row r="174" spans="1:11" x14ac:dyDescent="0.35">
      <c r="A174" s="29"/>
      <c r="B174" s="18"/>
      <c r="C174" s="18"/>
      <c r="D174" s="18"/>
      <c r="E174" s="18"/>
      <c r="F174" s="34"/>
      <c r="G174" s="35" t="e">
        <f>#REF!</f>
        <v>#REF!</v>
      </c>
      <c r="H174" s="36"/>
      <c r="I174" s="29"/>
      <c r="J174" s="37" t="e">
        <f t="shared" si="14"/>
        <v>#REF!</v>
      </c>
      <c r="K174" s="38" t="e">
        <f t="shared" si="16"/>
        <v>#REF!</v>
      </c>
    </row>
    <row r="175" spans="1:11" ht="24" customHeight="1" x14ac:dyDescent="0.35">
      <c r="A175" s="29"/>
      <c r="B175" s="18"/>
      <c r="C175" s="18"/>
      <c r="D175" s="18"/>
      <c r="E175" s="18"/>
      <c r="F175" s="34" t="e">
        <f>#REF!</f>
        <v>#REF!</v>
      </c>
      <c r="G175" s="35" t="e">
        <f>#REF!</f>
        <v>#REF!</v>
      </c>
      <c r="H175" s="36"/>
      <c r="I175" s="29"/>
      <c r="J175" s="37" t="e">
        <f t="shared" si="14"/>
        <v>#REF!</v>
      </c>
      <c r="K175" s="38" t="e">
        <f t="shared" si="16"/>
        <v>#REF!</v>
      </c>
    </row>
    <row r="176" spans="1:11" ht="19.5" customHeight="1" x14ac:dyDescent="0.35">
      <c r="A176" s="29"/>
      <c r="B176" s="18"/>
      <c r="C176" s="18"/>
      <c r="D176" s="18"/>
      <c r="E176" s="18"/>
      <c r="F176" s="34" t="e">
        <f>#REF!</f>
        <v>#REF!</v>
      </c>
      <c r="G176" s="35" t="e">
        <f>#REF!</f>
        <v>#REF!</v>
      </c>
      <c r="H176" s="36"/>
      <c r="I176" s="29"/>
      <c r="J176" s="37" t="e">
        <f t="shared" si="14"/>
        <v>#REF!</v>
      </c>
      <c r="K176" s="38" t="e">
        <f t="shared" si="16"/>
        <v>#REF!</v>
      </c>
    </row>
    <row r="177" spans="1:11" ht="19.5" customHeight="1" x14ac:dyDescent="0.35">
      <c r="A177" s="29"/>
      <c r="B177" s="18"/>
      <c r="C177" s="18"/>
      <c r="D177" s="18"/>
      <c r="E177" s="18"/>
      <c r="F177" s="34"/>
      <c r="G177" s="35" t="e">
        <f>#REF!</f>
        <v>#REF!</v>
      </c>
      <c r="H177" s="36" t="e">
        <f>#REF!</f>
        <v>#REF!</v>
      </c>
      <c r="I177" s="29"/>
      <c r="J177" s="37" t="e">
        <f t="shared" si="14"/>
        <v>#REF!</v>
      </c>
      <c r="K177" s="38" t="e">
        <f t="shared" si="16"/>
        <v>#REF!</v>
      </c>
    </row>
    <row r="178" spans="1:11" ht="19.5" customHeight="1" x14ac:dyDescent="0.35">
      <c r="A178" s="29"/>
      <c r="B178" s="18"/>
      <c r="C178" s="18"/>
      <c r="D178" s="18"/>
      <c r="E178" s="18"/>
      <c r="F178" s="34"/>
      <c r="G178" s="35" t="e">
        <f>#REF!</f>
        <v>#REF!</v>
      </c>
      <c r="H178" s="36" t="e">
        <f>#REF!</f>
        <v>#REF!</v>
      </c>
      <c r="I178" s="29"/>
      <c r="J178" s="37" t="e">
        <f t="shared" si="14"/>
        <v>#REF!</v>
      </c>
      <c r="K178" s="38" t="e">
        <f t="shared" si="16"/>
        <v>#REF!</v>
      </c>
    </row>
    <row r="179" spans="1:11" ht="19.5" customHeight="1" x14ac:dyDescent="0.35">
      <c r="A179" s="29"/>
      <c r="B179" s="18"/>
      <c r="C179" s="18"/>
      <c r="D179" s="18"/>
      <c r="E179" s="18"/>
      <c r="F179" s="34"/>
      <c r="G179" s="35" t="e">
        <f>#REF!</f>
        <v>#REF!</v>
      </c>
      <c r="H179" s="36" t="e">
        <f>#REF!</f>
        <v>#REF!</v>
      </c>
      <c r="I179" s="29"/>
      <c r="J179" s="37" t="e">
        <f t="shared" si="14"/>
        <v>#REF!</v>
      </c>
      <c r="K179" s="38" t="e">
        <f t="shared" si="16"/>
        <v>#REF!</v>
      </c>
    </row>
    <row r="180" spans="1:11" ht="15" customHeight="1" thickBot="1" x14ac:dyDescent="0.4">
      <c r="A180" s="29"/>
      <c r="B180" s="18"/>
      <c r="C180" s="18"/>
      <c r="D180" s="18"/>
      <c r="E180" s="18"/>
      <c r="F180" s="34"/>
      <c r="G180" s="35" t="e">
        <f>#REF!</f>
        <v>#REF!</v>
      </c>
      <c r="H180" s="36" t="e">
        <f>#REF!</f>
        <v>#REF!</v>
      </c>
      <c r="I180" s="29"/>
      <c r="J180" s="37" t="e">
        <f t="shared" si="14"/>
        <v>#REF!</v>
      </c>
      <c r="K180" s="38" t="e">
        <f t="shared" si="16"/>
        <v>#REF!</v>
      </c>
    </row>
    <row r="181" spans="1:11" ht="15" customHeight="1" thickBot="1" x14ac:dyDescent="0.6">
      <c r="A181" s="155" t="s">
        <v>26</v>
      </c>
      <c r="B181" s="156"/>
      <c r="C181" s="156"/>
      <c r="D181" s="156"/>
      <c r="E181" s="156"/>
      <c r="F181" s="156"/>
      <c r="G181" s="156"/>
      <c r="H181" s="156"/>
      <c r="I181" s="156"/>
      <c r="J181" s="156"/>
      <c r="K181" s="157"/>
    </row>
    <row r="182" spans="1:11" ht="15" customHeight="1" x14ac:dyDescent="0.35">
      <c r="A182" s="24"/>
      <c r="B182" s="52"/>
      <c r="C182" s="52"/>
      <c r="D182" s="52"/>
      <c r="E182" s="52"/>
      <c r="F182" s="66" t="s">
        <v>203</v>
      </c>
      <c r="G182" s="67" t="e">
        <f>#REF!</f>
        <v>#REF!</v>
      </c>
      <c r="H182" s="68"/>
      <c r="I182" s="24"/>
      <c r="J182" s="69" t="e">
        <f>IF(G182=0,0,(I182/G182)*H182)</f>
        <v>#REF!</v>
      </c>
      <c r="K182" s="70" t="e">
        <f>IF(G182=0,0,(((SUM(A182:E182)/G182)-(I182/G182))*26))</f>
        <v>#REF!</v>
      </c>
    </row>
    <row r="183" spans="1:11" ht="15" customHeight="1" x14ac:dyDescent="0.35">
      <c r="A183" s="17"/>
      <c r="B183" s="15"/>
      <c r="C183" s="15"/>
      <c r="D183" s="15"/>
      <c r="E183" s="15"/>
      <c r="F183" s="63" t="s">
        <v>210</v>
      </c>
      <c r="G183" s="64"/>
      <c r="H183" s="65"/>
      <c r="I183" s="17"/>
      <c r="J183" s="39">
        <f t="shared" ref="J183:J198" si="17">IF(G183=0,0,(I183/G183)*H183)</f>
        <v>0</v>
      </c>
      <c r="K183" s="40">
        <f>IF(G183=0,0,(((SUM(A183:E183)/G183)-(I183/G183))*52))</f>
        <v>0</v>
      </c>
    </row>
    <row r="184" spans="1:11" ht="15" customHeight="1" x14ac:dyDescent="0.35">
      <c r="A184" s="17"/>
      <c r="B184" s="15"/>
      <c r="C184" s="15"/>
      <c r="D184" s="15"/>
      <c r="E184" s="15"/>
      <c r="F184" s="63" t="s">
        <v>204</v>
      </c>
      <c r="G184" s="64" t="e">
        <f>#REF!</f>
        <v>#REF!</v>
      </c>
      <c r="H184" s="65"/>
      <c r="I184" s="17"/>
      <c r="J184" s="39" t="e">
        <f t="shared" si="17"/>
        <v>#REF!</v>
      </c>
      <c r="K184" s="40" t="e">
        <f t="shared" ref="K184:K189" si="18">IF(G184=0,0,(((SUM(A184:E184)/G184)-(I184/G184))*26))</f>
        <v>#REF!</v>
      </c>
    </row>
    <row r="185" spans="1:11" ht="15" customHeight="1" x14ac:dyDescent="0.35">
      <c r="A185" s="17"/>
      <c r="B185" s="15"/>
      <c r="C185" s="15"/>
      <c r="D185" s="15"/>
      <c r="E185" s="15"/>
      <c r="F185" s="63" t="s">
        <v>164</v>
      </c>
      <c r="G185" s="64" t="e">
        <f>#REF!</f>
        <v>#REF!</v>
      </c>
      <c r="H185" s="65"/>
      <c r="I185" s="17"/>
      <c r="J185" s="39" t="e">
        <f t="shared" si="17"/>
        <v>#REF!</v>
      </c>
      <c r="K185" s="40" t="e">
        <f>IF(G185=0,0,(((SUM(A185:E185)/G185)-(I185/G185))*52))</f>
        <v>#REF!</v>
      </c>
    </row>
    <row r="186" spans="1:11" ht="15" customHeight="1" x14ac:dyDescent="0.35">
      <c r="A186" s="17"/>
      <c r="B186" s="15"/>
      <c r="C186" s="15"/>
      <c r="D186" s="15"/>
      <c r="E186" s="15"/>
      <c r="F186" s="63" t="s">
        <v>205</v>
      </c>
      <c r="G186" s="64" t="e">
        <f>#REF!</f>
        <v>#REF!</v>
      </c>
      <c r="H186" s="65"/>
      <c r="I186" s="17"/>
      <c r="J186" s="39" t="e">
        <f t="shared" si="17"/>
        <v>#REF!</v>
      </c>
      <c r="K186" s="40" t="e">
        <f>IF(G186=0,0,(((SUM(A186:E186)/G186)-(I186/G186))*52))</f>
        <v>#REF!</v>
      </c>
    </row>
    <row r="187" spans="1:11" ht="15" customHeight="1" x14ac:dyDescent="0.35">
      <c r="A187" s="17"/>
      <c r="B187" s="15"/>
      <c r="C187" s="15"/>
      <c r="D187" s="15"/>
      <c r="E187" s="15"/>
      <c r="F187" s="63" t="s">
        <v>209</v>
      </c>
      <c r="G187" s="64" t="e">
        <f>#REF!</f>
        <v>#REF!</v>
      </c>
      <c r="H187" s="65"/>
      <c r="I187" s="17"/>
      <c r="J187" s="39" t="e">
        <f t="shared" si="17"/>
        <v>#REF!</v>
      </c>
      <c r="K187" s="40" t="e">
        <f t="shared" si="18"/>
        <v>#REF!</v>
      </c>
    </row>
    <row r="188" spans="1:11" ht="20.149999999999999" customHeight="1" x14ac:dyDescent="0.35">
      <c r="A188" s="17"/>
      <c r="B188" s="15"/>
      <c r="C188" s="15"/>
      <c r="D188" s="15"/>
      <c r="E188" s="15"/>
      <c r="F188" s="63" t="s">
        <v>208</v>
      </c>
      <c r="G188" s="64" t="e">
        <f>#REF!</f>
        <v>#REF!</v>
      </c>
      <c r="H188" s="65"/>
      <c r="I188" s="17"/>
      <c r="J188" s="39" t="e">
        <f t="shared" si="17"/>
        <v>#REF!</v>
      </c>
      <c r="K188" s="40" t="e">
        <f>IF(G188=0,0,(((SUM(A188:E188)/G188)-(I188/G188))*52))</f>
        <v>#REF!</v>
      </c>
    </row>
    <row r="189" spans="1:11" ht="20.149999999999999" customHeight="1" x14ac:dyDescent="0.35">
      <c r="A189" s="17"/>
      <c r="B189" s="15"/>
      <c r="C189" s="15"/>
      <c r="D189" s="15"/>
      <c r="E189" s="15"/>
      <c r="F189" s="63"/>
      <c r="G189" s="64" t="e">
        <f>#REF!</f>
        <v>#REF!</v>
      </c>
      <c r="H189" s="65"/>
      <c r="I189" s="17"/>
      <c r="J189" s="39" t="e">
        <f t="shared" si="17"/>
        <v>#REF!</v>
      </c>
      <c r="K189" s="40" t="e">
        <f t="shared" si="18"/>
        <v>#REF!</v>
      </c>
    </row>
    <row r="190" spans="1:11" ht="20.149999999999999" customHeight="1" x14ac:dyDescent="0.35">
      <c r="A190" s="17"/>
      <c r="B190" s="15"/>
      <c r="C190" s="15"/>
      <c r="D190" s="15"/>
      <c r="E190" s="15"/>
      <c r="F190" s="63"/>
      <c r="G190" s="64" t="e">
        <f>#REF!</f>
        <v>#REF!</v>
      </c>
      <c r="H190" s="65"/>
      <c r="I190" s="17"/>
      <c r="J190" s="39" t="e">
        <f t="shared" si="17"/>
        <v>#REF!</v>
      </c>
      <c r="K190" s="40" t="e">
        <f>IF(G190=0,0,(((SUM(A190:E190)/G190)-(I190/G190))*52))</f>
        <v>#REF!</v>
      </c>
    </row>
    <row r="191" spans="1:11" ht="20.149999999999999" customHeight="1" x14ac:dyDescent="0.35">
      <c r="A191" s="17"/>
      <c r="B191" s="15"/>
      <c r="C191" s="15"/>
      <c r="D191" s="15"/>
      <c r="E191" s="15"/>
      <c r="F191" s="34"/>
      <c r="G191" s="64">
        <v>40.950000000000003</v>
      </c>
      <c r="H191" s="65"/>
      <c r="I191" s="17"/>
      <c r="J191" s="39">
        <f t="shared" si="17"/>
        <v>0</v>
      </c>
      <c r="K191" s="40">
        <f t="shared" ref="K191:K198" si="19">IF(G191=0,0,(((SUM(A191:E191)/G191)-(I191/G191))*52))</f>
        <v>0</v>
      </c>
    </row>
    <row r="192" spans="1:11" ht="20.149999999999999" customHeight="1" x14ac:dyDescent="0.35">
      <c r="A192" s="17"/>
      <c r="B192" s="15"/>
      <c r="C192" s="15"/>
      <c r="D192" s="15"/>
      <c r="E192" s="15"/>
      <c r="F192" s="63"/>
      <c r="G192" s="64">
        <v>40.950000000000003</v>
      </c>
      <c r="H192" s="65"/>
      <c r="I192" s="17"/>
      <c r="J192" s="39">
        <f t="shared" si="17"/>
        <v>0</v>
      </c>
      <c r="K192" s="40">
        <f t="shared" si="19"/>
        <v>0</v>
      </c>
    </row>
    <row r="193" spans="1:13" x14ac:dyDescent="0.35">
      <c r="A193" s="17"/>
      <c r="B193" s="15"/>
      <c r="C193" s="15"/>
      <c r="D193" s="15"/>
      <c r="E193" s="15"/>
      <c r="F193" s="63"/>
      <c r="G193" s="64">
        <v>39.4</v>
      </c>
      <c r="H193" s="65"/>
      <c r="I193" s="17"/>
      <c r="J193" s="39">
        <f t="shared" si="17"/>
        <v>0</v>
      </c>
      <c r="K193" s="40">
        <f t="shared" si="19"/>
        <v>0</v>
      </c>
    </row>
    <row r="194" spans="1:13" ht="20.149999999999999" customHeight="1" x14ac:dyDescent="0.35">
      <c r="A194" s="17"/>
      <c r="B194" s="15"/>
      <c r="C194" s="15"/>
      <c r="D194" s="15"/>
      <c r="E194" s="15"/>
      <c r="F194" s="63" t="e">
        <f>#REF!</f>
        <v>#REF!</v>
      </c>
      <c r="G194" s="64" t="e">
        <f>#REF!</f>
        <v>#REF!</v>
      </c>
      <c r="H194" s="65"/>
      <c r="I194" s="17"/>
      <c r="J194" s="39" t="e">
        <f t="shared" si="17"/>
        <v>#REF!</v>
      </c>
      <c r="K194" s="40" t="e">
        <f t="shared" si="19"/>
        <v>#REF!</v>
      </c>
    </row>
    <row r="195" spans="1:13" ht="20.149999999999999" customHeight="1" x14ac:dyDescent="0.35">
      <c r="A195" s="17"/>
      <c r="B195" s="15"/>
      <c r="C195" s="15"/>
      <c r="D195" s="15"/>
      <c r="E195" s="15"/>
      <c r="F195" s="63" t="e">
        <f>#REF!</f>
        <v>#REF!</v>
      </c>
      <c r="G195" s="64" t="e">
        <f>#REF!</f>
        <v>#REF!</v>
      </c>
      <c r="H195" s="65"/>
      <c r="I195" s="17"/>
      <c r="J195" s="39" t="e">
        <f t="shared" si="17"/>
        <v>#REF!</v>
      </c>
      <c r="K195" s="40" t="e">
        <f t="shared" si="19"/>
        <v>#REF!</v>
      </c>
    </row>
    <row r="196" spans="1:13" ht="20.149999999999999" customHeight="1" x14ac:dyDescent="0.35">
      <c r="A196" s="17"/>
      <c r="B196" s="15"/>
      <c r="C196" s="15"/>
      <c r="D196" s="15"/>
      <c r="E196" s="15"/>
      <c r="F196" s="63" t="e">
        <f>#REF!</f>
        <v>#REF!</v>
      </c>
      <c r="G196" s="64" t="e">
        <f>#REF!</f>
        <v>#REF!</v>
      </c>
      <c r="H196" s="65"/>
      <c r="I196" s="17"/>
      <c r="J196" s="39" t="e">
        <f t="shared" si="17"/>
        <v>#REF!</v>
      </c>
      <c r="K196" s="40" t="e">
        <f t="shared" si="19"/>
        <v>#REF!</v>
      </c>
    </row>
    <row r="197" spans="1:13" ht="20.149999999999999" customHeight="1" x14ac:dyDescent="0.35">
      <c r="A197" s="17"/>
      <c r="B197" s="15"/>
      <c r="C197" s="15"/>
      <c r="D197" s="15"/>
      <c r="E197" s="15"/>
      <c r="F197" s="63" t="e">
        <f>#REF!</f>
        <v>#REF!</v>
      </c>
      <c r="G197" s="64" t="e">
        <f>#REF!</f>
        <v>#REF!</v>
      </c>
      <c r="H197" s="65"/>
      <c r="I197" s="17"/>
      <c r="J197" s="39" t="e">
        <f t="shared" si="17"/>
        <v>#REF!</v>
      </c>
      <c r="K197" s="40" t="e">
        <f t="shared" si="19"/>
        <v>#REF!</v>
      </c>
    </row>
    <row r="198" spans="1:13" ht="20.149999999999999" customHeight="1" thickBot="1" x14ac:dyDescent="0.4">
      <c r="A198" s="33"/>
      <c r="B198" s="32"/>
      <c r="C198" s="32"/>
      <c r="D198" s="32"/>
      <c r="E198" s="32"/>
      <c r="F198" s="71" t="e">
        <f>#REF!</f>
        <v>#REF!</v>
      </c>
      <c r="G198" s="72" t="e">
        <f>#REF!</f>
        <v>#REF!</v>
      </c>
      <c r="H198" s="73"/>
      <c r="I198" s="33"/>
      <c r="J198" s="74" t="e">
        <f t="shared" si="17"/>
        <v>#REF!</v>
      </c>
      <c r="K198" s="75" t="e">
        <f t="shared" si="19"/>
        <v>#REF!</v>
      </c>
    </row>
    <row r="199" spans="1:13" ht="20.149999999999999" customHeight="1" thickBot="1" x14ac:dyDescent="0.6">
      <c r="A199" s="109" t="s">
        <v>9</v>
      </c>
      <c r="B199" s="110"/>
      <c r="C199" s="110"/>
      <c r="D199" s="110"/>
      <c r="E199" s="110"/>
      <c r="F199" s="110"/>
      <c r="G199" s="110"/>
      <c r="H199" s="110"/>
      <c r="I199" s="111"/>
      <c r="J199" s="87">
        <v>409.95678002576386</v>
      </c>
      <c r="K199" s="88"/>
    </row>
    <row r="200" spans="1:13" ht="20.149999999999999" customHeight="1" thickBot="1" x14ac:dyDescent="0.6">
      <c r="A200" s="109" t="s">
        <v>27</v>
      </c>
      <c r="B200" s="110"/>
      <c r="C200" s="110"/>
      <c r="D200" s="110"/>
      <c r="E200" s="110"/>
      <c r="F200" s="110"/>
      <c r="G200" s="110"/>
      <c r="H200" s="110"/>
      <c r="I200" s="111"/>
      <c r="J200" s="89">
        <v>0</v>
      </c>
      <c r="K200" s="90"/>
    </row>
    <row r="201" spans="1:13" ht="24" thickBot="1" x14ac:dyDescent="0.6">
      <c r="A201" s="109" t="s">
        <v>55</v>
      </c>
      <c r="B201" s="110"/>
      <c r="C201" s="110"/>
      <c r="D201" s="110"/>
      <c r="E201" s="110"/>
      <c r="F201" s="110"/>
      <c r="G201" s="110"/>
      <c r="H201" s="110"/>
      <c r="I201" s="111"/>
      <c r="J201" s="89">
        <v>0</v>
      </c>
      <c r="K201" s="90"/>
    </row>
    <row r="202" spans="1:13" ht="24" thickBot="1" x14ac:dyDescent="0.6">
      <c r="A202" s="109" t="s">
        <v>11</v>
      </c>
      <c r="B202" s="110"/>
      <c r="C202" s="110"/>
      <c r="D202" s="110"/>
      <c r="E202" s="110"/>
      <c r="F202" s="110"/>
      <c r="G202" s="110"/>
      <c r="H202" s="110"/>
      <c r="I202" s="111"/>
      <c r="J202" s="87" t="e">
        <f>SUM(J162:J173)+SUM(J182:J193)</f>
        <v>#REF!</v>
      </c>
      <c r="K202" s="88"/>
    </row>
    <row r="203" spans="1:13" ht="24" customHeight="1" thickBot="1" x14ac:dyDescent="0.6">
      <c r="A203" s="109" t="s">
        <v>28</v>
      </c>
      <c r="B203" s="110"/>
      <c r="C203" s="110"/>
      <c r="D203" s="110"/>
      <c r="E203" s="110"/>
      <c r="F203" s="110"/>
      <c r="G203" s="110"/>
      <c r="H203" s="110"/>
      <c r="I203" s="111"/>
      <c r="J203" s="165">
        <v>348.25</v>
      </c>
      <c r="K203" s="166"/>
    </row>
    <row r="204" spans="1:13" ht="24" thickBot="1" x14ac:dyDescent="0.6">
      <c r="A204" s="109" t="s">
        <v>29</v>
      </c>
      <c r="B204" s="110"/>
      <c r="C204" s="110"/>
      <c r="D204" s="110"/>
      <c r="E204" s="110"/>
      <c r="F204" s="110"/>
      <c r="G204" s="110"/>
      <c r="H204" s="110"/>
      <c r="I204" s="111"/>
      <c r="J204" s="87" t="e">
        <f>J199+J200+J201-J202</f>
        <v>#REF!</v>
      </c>
      <c r="K204" s="88"/>
    </row>
    <row r="205" spans="1:13" ht="24" thickBot="1" x14ac:dyDescent="0.6">
      <c r="A205" s="109" t="s">
        <v>30</v>
      </c>
      <c r="B205" s="110"/>
      <c r="C205" s="110"/>
      <c r="D205" s="110"/>
      <c r="E205" s="110"/>
      <c r="F205" s="110"/>
      <c r="G205" s="110"/>
      <c r="H205" s="110"/>
      <c r="I205" s="111"/>
      <c r="J205" s="112" t="e">
        <f>J204/J203</f>
        <v>#REF!</v>
      </c>
      <c r="K205" s="113"/>
      <c r="L205" s="3"/>
      <c r="M205" s="2"/>
    </row>
    <row r="206" spans="1:13" ht="24" thickBot="1" x14ac:dyDescent="0.6">
      <c r="A206" s="85" t="s">
        <v>56</v>
      </c>
      <c r="B206" s="85"/>
      <c r="C206" s="85"/>
      <c r="D206" s="85"/>
      <c r="E206" s="85"/>
      <c r="F206" s="85"/>
      <c r="G206" s="85"/>
      <c r="H206" s="85"/>
      <c r="I206" s="86"/>
      <c r="J206" s="112" t="e">
        <f>((H224+H225+H227-J202)/H226)</f>
        <v>#REF!</v>
      </c>
      <c r="K206" s="113"/>
      <c r="L206" s="3"/>
      <c r="M206" s="2"/>
    </row>
    <row r="207" spans="1:13" ht="24" thickBot="1" x14ac:dyDescent="0.6">
      <c r="A207" s="160" t="s">
        <v>31</v>
      </c>
      <c r="B207" s="161"/>
      <c r="C207" s="161"/>
      <c r="D207" s="161"/>
      <c r="E207" s="161"/>
      <c r="F207" s="161"/>
      <c r="G207" s="161"/>
      <c r="H207" s="161"/>
      <c r="I207" s="162"/>
      <c r="J207" s="163">
        <v>4318.1256176473144</v>
      </c>
      <c r="K207" s="164"/>
      <c r="L207" s="3"/>
      <c r="M207" s="2"/>
    </row>
    <row r="208" spans="1:13" ht="24" thickBot="1" x14ac:dyDescent="0.6">
      <c r="A208" s="160" t="s">
        <v>32</v>
      </c>
      <c r="B208" s="161"/>
      <c r="C208" s="161"/>
      <c r="D208" s="161"/>
      <c r="E208" s="161"/>
      <c r="F208" s="161"/>
      <c r="G208" s="161"/>
      <c r="H208" s="161"/>
      <c r="I208" s="162"/>
      <c r="J208" s="163">
        <f>J58+J137+J200+J152</f>
        <v>0</v>
      </c>
      <c r="K208" s="164"/>
      <c r="L208" s="3"/>
      <c r="M208" s="2"/>
    </row>
    <row r="209" spans="1:13" ht="24" thickBot="1" x14ac:dyDescent="0.6">
      <c r="A209" s="160" t="s">
        <v>54</v>
      </c>
      <c r="B209" s="161"/>
      <c r="C209" s="161"/>
      <c r="D209" s="161"/>
      <c r="E209" s="161"/>
      <c r="F209" s="161"/>
      <c r="G209" s="161"/>
      <c r="H209" s="161"/>
      <c r="I209" s="162"/>
      <c r="J209" s="163">
        <f>J59+J138+J201+J153</f>
        <v>0</v>
      </c>
      <c r="K209" s="164"/>
      <c r="L209" s="3"/>
      <c r="M209" s="2"/>
    </row>
    <row r="210" spans="1:13" ht="24" thickBot="1" x14ac:dyDescent="0.6">
      <c r="A210" s="160" t="s">
        <v>33</v>
      </c>
      <c r="B210" s="161"/>
      <c r="C210" s="161"/>
      <c r="D210" s="161"/>
      <c r="E210" s="161"/>
      <c r="F210" s="161"/>
      <c r="G210" s="161"/>
      <c r="H210" s="161"/>
      <c r="I210" s="162"/>
      <c r="J210" s="163" t="e">
        <f>J60+J139+J202+J154</f>
        <v>#DIV/0!</v>
      </c>
      <c r="K210" s="164"/>
      <c r="L210" s="3"/>
      <c r="M210" s="2"/>
    </row>
    <row r="211" spans="1:13" ht="24" thickBot="1" x14ac:dyDescent="0.6">
      <c r="A211" s="160" t="s">
        <v>34</v>
      </c>
      <c r="B211" s="161"/>
      <c r="C211" s="161"/>
      <c r="D211" s="161"/>
      <c r="E211" s="161"/>
      <c r="F211" s="161"/>
      <c r="G211" s="161"/>
      <c r="H211" s="161"/>
      <c r="I211" s="162"/>
      <c r="J211" s="163">
        <f>J61+J140+J203+J155</f>
        <v>2687</v>
      </c>
      <c r="K211" s="164"/>
      <c r="L211" s="3"/>
      <c r="M211" s="2"/>
    </row>
    <row r="212" spans="1:13" ht="24" thickBot="1" x14ac:dyDescent="0.6">
      <c r="A212" s="160" t="s">
        <v>35</v>
      </c>
      <c r="B212" s="161"/>
      <c r="C212" s="161"/>
      <c r="D212" s="161"/>
      <c r="E212" s="161"/>
      <c r="F212" s="161"/>
      <c r="G212" s="161"/>
      <c r="H212" s="161"/>
      <c r="I212" s="162"/>
      <c r="J212" s="163" t="e">
        <f>J207+J208+J209-J210</f>
        <v>#DIV/0!</v>
      </c>
      <c r="K212" s="164"/>
      <c r="L212" s="3"/>
      <c r="M212" s="2"/>
    </row>
    <row r="213" spans="1:13" ht="24" thickBot="1" x14ac:dyDescent="0.6">
      <c r="A213" s="160" t="s">
        <v>36</v>
      </c>
      <c r="B213" s="161"/>
      <c r="C213" s="161"/>
      <c r="D213" s="161"/>
      <c r="E213" s="161"/>
      <c r="F213" s="161"/>
      <c r="G213" s="161"/>
      <c r="H213" s="161"/>
      <c r="I213" s="162"/>
      <c r="J213" s="167" t="e">
        <f>J212/J211</f>
        <v>#DIV/0!</v>
      </c>
      <c r="K213" s="168"/>
      <c r="L213" s="3"/>
      <c r="M213" s="2"/>
    </row>
    <row r="214" spans="1:13" ht="24" thickBot="1" x14ac:dyDescent="0.6">
      <c r="A214" s="169" t="s">
        <v>57</v>
      </c>
      <c r="B214" s="170"/>
      <c r="C214" s="170"/>
      <c r="D214" s="170"/>
      <c r="E214" s="170"/>
      <c r="F214" s="170"/>
      <c r="G214" s="170"/>
      <c r="H214" s="170"/>
      <c r="I214" s="171"/>
      <c r="J214" s="172" t="e">
        <f>((K224+K225+K227-J210))/K226</f>
        <v>#DIV/0!</v>
      </c>
      <c r="K214" s="173"/>
      <c r="L214" s="3"/>
      <c r="M214" s="2"/>
    </row>
    <row r="215" spans="1:13" ht="24" thickBot="1" x14ac:dyDescent="0.6">
      <c r="A215" s="190" t="s">
        <v>37</v>
      </c>
      <c r="B215" s="191"/>
      <c r="C215" s="191"/>
      <c r="D215" s="191"/>
      <c r="E215" s="191"/>
      <c r="F215" s="191"/>
      <c r="G215" s="191"/>
      <c r="H215" s="191"/>
      <c r="I215" s="191"/>
      <c r="J215" s="191"/>
      <c r="K215" s="192"/>
      <c r="L215" s="3"/>
      <c r="M215" s="2"/>
    </row>
    <row r="216" spans="1:13" ht="15" thickBot="1" x14ac:dyDescent="0.4">
      <c r="A216" s="193" t="s">
        <v>8</v>
      </c>
      <c r="B216" s="194"/>
      <c r="C216" s="194"/>
      <c r="D216" s="194"/>
      <c r="E216" s="195"/>
      <c r="F216" s="20" t="s">
        <v>38</v>
      </c>
      <c r="G216" s="19" t="s">
        <v>42</v>
      </c>
      <c r="H216" s="19" t="s">
        <v>43</v>
      </c>
      <c r="I216" s="19" t="s">
        <v>47</v>
      </c>
      <c r="J216" s="21" t="s">
        <v>46</v>
      </c>
      <c r="K216" s="21" t="s">
        <v>71</v>
      </c>
      <c r="L216" s="3"/>
      <c r="M216" s="2"/>
    </row>
    <row r="217" spans="1:13" x14ac:dyDescent="0.35">
      <c r="A217" s="196" t="s">
        <v>39</v>
      </c>
      <c r="B217" s="197"/>
      <c r="C217" s="197"/>
      <c r="D217" s="197"/>
      <c r="E217" s="198"/>
      <c r="F217" s="22">
        <v>70</v>
      </c>
      <c r="G217" s="46" t="s">
        <v>38</v>
      </c>
      <c r="H217" s="23"/>
      <c r="I217" s="24">
        <v>1</v>
      </c>
      <c r="J217" s="24">
        <v>13</v>
      </c>
      <c r="K217" s="25">
        <v>40</v>
      </c>
      <c r="L217" s="3"/>
      <c r="M217" s="2"/>
    </row>
    <row r="218" spans="1:13" ht="15" thickBot="1" x14ac:dyDescent="0.4">
      <c r="A218" s="199" t="s">
        <v>40</v>
      </c>
      <c r="B218" s="200"/>
      <c r="C218" s="200"/>
      <c r="D218" s="200"/>
      <c r="E218" s="201"/>
      <c r="F218" s="26">
        <v>36</v>
      </c>
      <c r="G218" s="47" t="s">
        <v>52</v>
      </c>
      <c r="H218" s="185" t="e">
        <f>(H217*34)+(I217*17)+(J217*8)+(K217*6)-((SUM(K162:K172))+(SUM(K182:K190)))</f>
        <v>#REF!</v>
      </c>
      <c r="I218" s="186"/>
      <c r="J218" s="186"/>
      <c r="K218" s="187"/>
      <c r="L218" s="3"/>
    </row>
    <row r="219" spans="1:13" ht="15" thickBot="1" x14ac:dyDescent="0.4">
      <c r="A219" s="199" t="s">
        <v>41</v>
      </c>
      <c r="B219" s="200"/>
      <c r="C219" s="200"/>
      <c r="D219" s="200"/>
      <c r="E219" s="201"/>
      <c r="F219" s="26">
        <v>0</v>
      </c>
      <c r="G219" s="202" t="s">
        <v>45</v>
      </c>
      <c r="H219" s="203"/>
      <c r="I219" s="203"/>
      <c r="J219" s="203"/>
      <c r="K219" s="204"/>
      <c r="L219" s="3"/>
    </row>
    <row r="220" spans="1:13" x14ac:dyDescent="0.35">
      <c r="A220" s="174" t="s">
        <v>48</v>
      </c>
      <c r="B220" s="175"/>
      <c r="C220" s="175"/>
      <c r="D220" s="175"/>
      <c r="E220" s="176"/>
      <c r="F220" s="180" t="e">
        <f>(F217+(F218*2)+(F219*3))-(SUM(K5:K37))</f>
        <v>#DIV/0!</v>
      </c>
      <c r="G220" s="46" t="s">
        <v>38</v>
      </c>
      <c r="H220" s="182">
        <v>287</v>
      </c>
      <c r="I220" s="183"/>
      <c r="J220" s="183"/>
      <c r="K220" s="184"/>
      <c r="L220" s="3"/>
    </row>
    <row r="221" spans="1:13" ht="15" thickBot="1" x14ac:dyDescent="0.4">
      <c r="A221" s="177"/>
      <c r="B221" s="178"/>
      <c r="C221" s="178"/>
      <c r="D221" s="178"/>
      <c r="E221" s="179"/>
      <c r="F221" s="181"/>
      <c r="G221" s="47" t="s">
        <v>52</v>
      </c>
      <c r="H221" s="185">
        <f>H220-(SUM(K110:K135))</f>
        <v>287</v>
      </c>
      <c r="I221" s="186"/>
      <c r="J221" s="186"/>
      <c r="K221" s="187"/>
      <c r="L221" s="3"/>
    </row>
    <row r="222" spans="1:13" x14ac:dyDescent="0.35">
      <c r="A222" s="188"/>
      <c r="B222" s="188"/>
      <c r="C222" s="188"/>
      <c r="D222" s="188"/>
      <c r="E222" s="188"/>
      <c r="F222" s="10"/>
      <c r="H222" s="189"/>
      <c r="I222" s="189"/>
      <c r="J222" s="189"/>
      <c r="K222" s="189"/>
      <c r="L222" s="3"/>
    </row>
    <row r="223" spans="1:13" x14ac:dyDescent="0.35">
      <c r="A223" s="208"/>
      <c r="B223" s="208"/>
      <c r="C223" s="208"/>
      <c r="D223" s="208"/>
      <c r="E223" s="208"/>
      <c r="F223" s="11" t="s">
        <v>8</v>
      </c>
      <c r="G223" s="11" t="s">
        <v>49</v>
      </c>
      <c r="H223" s="209" t="s">
        <v>50</v>
      </c>
      <c r="I223" s="209"/>
      <c r="J223" t="s">
        <v>61</v>
      </c>
      <c r="K223" t="s">
        <v>51</v>
      </c>
      <c r="L223" s="3"/>
    </row>
    <row r="224" spans="1:13" x14ac:dyDescent="0.35">
      <c r="A224" s="205" t="s">
        <v>9</v>
      </c>
      <c r="B224" s="205"/>
      <c r="C224" s="205"/>
      <c r="D224" s="205"/>
      <c r="E224" s="205"/>
      <c r="F224" s="12">
        <f>J57</f>
        <v>1713.9906492157534</v>
      </c>
      <c r="G224" s="12">
        <f>J136</f>
        <v>1757.8899999999999</v>
      </c>
      <c r="H224" s="206">
        <f>J199</f>
        <v>409.95678002576386</v>
      </c>
      <c r="I224" s="206"/>
      <c r="J224" s="49">
        <f>J151</f>
        <v>436.28818840579714</v>
      </c>
      <c r="K224" s="13">
        <f>SUM(F224:J224)</f>
        <v>4318.1256176473144</v>
      </c>
      <c r="L224" s="3"/>
    </row>
    <row r="225" spans="1:16" x14ac:dyDescent="0.35">
      <c r="A225" s="205" t="s">
        <v>58</v>
      </c>
      <c r="B225" s="205"/>
      <c r="C225" s="205"/>
      <c r="D225" s="205"/>
      <c r="E225" s="205"/>
      <c r="F225" s="12">
        <f>J58</f>
        <v>0</v>
      </c>
      <c r="G225" s="12">
        <f>J137</f>
        <v>0</v>
      </c>
      <c r="H225" s="206">
        <f>J200</f>
        <v>0</v>
      </c>
      <c r="I225" s="206"/>
      <c r="J225" s="49">
        <f>J152</f>
        <v>0</v>
      </c>
      <c r="K225" s="13">
        <f>SUM(F225:J225)</f>
        <v>0</v>
      </c>
      <c r="L225" s="3"/>
    </row>
    <row r="226" spans="1:16" x14ac:dyDescent="0.35">
      <c r="A226" s="205" t="s">
        <v>59</v>
      </c>
      <c r="B226" s="205"/>
      <c r="C226" s="205"/>
      <c r="D226" s="205"/>
      <c r="E226" s="205"/>
      <c r="F226" s="12">
        <f>J61</f>
        <v>0</v>
      </c>
      <c r="G226" s="12">
        <f>J140</f>
        <v>1739.25</v>
      </c>
      <c r="H226" s="206">
        <f>J203</f>
        <v>348.25</v>
      </c>
      <c r="I226" s="206"/>
      <c r="J226" s="49">
        <f>J155</f>
        <v>599.5</v>
      </c>
      <c r="K226" s="13">
        <f>SUM(F226:J226)</f>
        <v>2687</v>
      </c>
      <c r="L226" s="3"/>
    </row>
    <row r="227" spans="1:16" x14ac:dyDescent="0.35">
      <c r="A227" s="205" t="s">
        <v>60</v>
      </c>
      <c r="B227" s="205"/>
      <c r="C227" s="205"/>
      <c r="D227" s="205"/>
      <c r="E227" s="205"/>
      <c r="F227" s="48">
        <f>J59</f>
        <v>0</v>
      </c>
      <c r="G227" s="49">
        <f>J138</f>
        <v>0</v>
      </c>
      <c r="H227" s="207">
        <f>J201</f>
        <v>0</v>
      </c>
      <c r="I227" s="207"/>
      <c r="J227" s="49">
        <f>J153</f>
        <v>0</v>
      </c>
      <c r="K227" s="49">
        <f>SUM(F227:J227)</f>
        <v>0</v>
      </c>
      <c r="L227" s="3"/>
    </row>
    <row r="228" spans="1:16" x14ac:dyDescent="0.35">
      <c r="A228" s="205"/>
      <c r="B228" s="205"/>
      <c r="C228" s="205"/>
      <c r="D228" s="205"/>
      <c r="E228" s="205"/>
      <c r="F228" s="10"/>
      <c r="J228" s="8"/>
      <c r="L228" s="3"/>
    </row>
    <row r="229" spans="1:16" x14ac:dyDescent="0.35">
      <c r="A229" s="205"/>
      <c r="B229" s="205"/>
      <c r="C229" s="205"/>
      <c r="D229" s="205"/>
      <c r="E229" s="205"/>
      <c r="F229" s="10"/>
      <c r="J229" s="8"/>
      <c r="L229" s="3"/>
    </row>
    <row r="230" spans="1:16" x14ac:dyDescent="0.35">
      <c r="A230" s="208"/>
      <c r="B230" s="208"/>
      <c r="C230" s="208"/>
      <c r="D230" s="208"/>
      <c r="E230" s="208"/>
      <c r="F230" s="7"/>
      <c r="J230" s="8"/>
      <c r="L230" s="3"/>
    </row>
    <row r="231" spans="1:16" x14ac:dyDescent="0.35">
      <c r="A231" s="205"/>
      <c r="B231" s="205"/>
      <c r="C231" s="205"/>
      <c r="D231" s="205"/>
      <c r="E231" s="205"/>
      <c r="F231" s="10"/>
      <c r="J231" s="8"/>
      <c r="L231" s="2"/>
    </row>
    <row r="232" spans="1:16" x14ac:dyDescent="0.35">
      <c r="A232" s="205"/>
      <c r="B232" s="205"/>
      <c r="C232" s="205"/>
      <c r="D232" s="205"/>
      <c r="E232" s="205"/>
      <c r="F232" s="10"/>
      <c r="J232" s="8"/>
      <c r="L232" s="2"/>
    </row>
    <row r="233" spans="1:16" x14ac:dyDescent="0.35">
      <c r="A233" s="205"/>
      <c r="B233" s="205"/>
      <c r="C233" s="205"/>
      <c r="D233" s="205"/>
      <c r="E233" s="205"/>
      <c r="F233" s="10"/>
      <c r="J233" s="8"/>
      <c r="L233" s="2"/>
      <c r="M233" s="3"/>
      <c r="N233" s="4"/>
      <c r="O233" s="4"/>
      <c r="P233" s="4"/>
    </row>
    <row r="234" spans="1:16" x14ac:dyDescent="0.35">
      <c r="A234" s="205"/>
      <c r="B234" s="205"/>
      <c r="C234" s="205"/>
      <c r="D234" s="205"/>
      <c r="E234" s="205"/>
      <c r="F234" s="10"/>
      <c r="J234" s="8"/>
      <c r="L234" s="2"/>
    </row>
    <row r="235" spans="1:16" x14ac:dyDescent="0.35">
      <c r="A235" s="205"/>
      <c r="B235" s="205"/>
      <c r="C235" s="205"/>
      <c r="D235" s="205"/>
      <c r="E235" s="205"/>
      <c r="F235" s="10"/>
      <c r="J235" s="8"/>
      <c r="L235" s="2"/>
      <c r="M235" s="3"/>
      <c r="N235" s="4"/>
      <c r="O235" s="4"/>
      <c r="P235" s="4"/>
    </row>
    <row r="236" spans="1:16" x14ac:dyDescent="0.35">
      <c r="A236" s="205"/>
      <c r="B236" s="205"/>
      <c r="C236" s="205"/>
      <c r="D236" s="205"/>
      <c r="E236" s="205"/>
      <c r="F236" s="10"/>
      <c r="J236" s="8"/>
      <c r="L236" s="2"/>
      <c r="M236" s="3"/>
      <c r="N236" s="4"/>
      <c r="O236" s="4"/>
      <c r="P236" s="4"/>
    </row>
    <row r="237" spans="1:16" x14ac:dyDescent="0.35">
      <c r="A237" s="208"/>
      <c r="B237" s="208"/>
      <c r="C237" s="208"/>
      <c r="D237" s="208"/>
      <c r="E237" s="208"/>
      <c r="F237" s="7"/>
      <c r="J237" s="8"/>
      <c r="L237" s="2"/>
      <c r="M237" s="3"/>
      <c r="N237" s="4"/>
      <c r="O237" s="4"/>
      <c r="P237" s="4"/>
    </row>
    <row r="238" spans="1:16" x14ac:dyDescent="0.35">
      <c r="A238" s="208"/>
      <c r="B238" s="208"/>
      <c r="C238" s="208"/>
      <c r="D238" s="208"/>
      <c r="E238" s="208"/>
      <c r="F238" s="7"/>
      <c r="J238" s="8"/>
      <c r="L238" s="2"/>
      <c r="M238" s="3"/>
      <c r="N238" s="4"/>
      <c r="O238" s="4"/>
      <c r="P238" s="4"/>
    </row>
    <row r="239" spans="1:16" x14ac:dyDescent="0.35">
      <c r="A239" s="6"/>
      <c r="B239" s="6"/>
      <c r="C239" s="6"/>
      <c r="D239" s="6"/>
      <c r="E239" s="6"/>
      <c r="F239" s="6"/>
      <c r="J239" s="8"/>
      <c r="L239" s="2"/>
      <c r="M239" s="3"/>
      <c r="N239" s="2"/>
      <c r="O239" s="4"/>
      <c r="P239" s="4"/>
    </row>
    <row r="240" spans="1:16" x14ac:dyDescent="0.35">
      <c r="A240" s="6"/>
      <c r="B240" s="6"/>
      <c r="C240" s="6"/>
      <c r="D240" s="6"/>
      <c r="E240" s="6"/>
      <c r="F240" s="6"/>
      <c r="J240" s="8"/>
      <c r="L240" s="4"/>
      <c r="M240" s="3"/>
      <c r="N240" s="2"/>
      <c r="O240" s="4"/>
      <c r="P240" s="4"/>
    </row>
    <row r="241" spans="1:16" x14ac:dyDescent="0.35">
      <c r="A241" s="6"/>
      <c r="B241" s="6"/>
      <c r="C241" s="6"/>
      <c r="D241" s="6"/>
      <c r="E241" s="6"/>
      <c r="F241" s="6"/>
      <c r="G241" s="9"/>
      <c r="H241" s="9"/>
      <c r="I241" s="9"/>
      <c r="J241" s="9"/>
      <c r="K241" s="9"/>
      <c r="L241" s="2"/>
      <c r="M241" s="3"/>
      <c r="N241" s="4"/>
      <c r="O241" s="4"/>
      <c r="P241" s="4"/>
    </row>
    <row r="242" spans="1:16" x14ac:dyDescent="0.35">
      <c r="A242" s="6"/>
      <c r="B242" s="6"/>
      <c r="C242" s="6"/>
      <c r="D242" s="6"/>
      <c r="E242" s="6"/>
      <c r="F242" s="6"/>
      <c r="G242" s="9"/>
      <c r="H242" s="9"/>
      <c r="I242" s="9"/>
      <c r="J242" s="9"/>
      <c r="K242" s="9"/>
      <c r="L242" s="2"/>
      <c r="M242" s="3"/>
      <c r="N242" s="2"/>
      <c r="O242" s="4"/>
      <c r="P242" s="4"/>
    </row>
    <row r="243" spans="1:16" x14ac:dyDescent="0.35">
      <c r="A243" s="6"/>
      <c r="B243" s="6"/>
      <c r="C243" s="6"/>
      <c r="D243" s="6"/>
      <c r="E243" s="6"/>
      <c r="F243" s="7"/>
      <c r="G243" s="6"/>
      <c r="H243" s="6"/>
      <c r="I243" s="6"/>
      <c r="J243" s="6"/>
      <c r="K243" s="7"/>
      <c r="L243" s="2"/>
      <c r="M243" s="3"/>
      <c r="N243" s="2"/>
      <c r="O243" s="4"/>
      <c r="P243" s="4"/>
    </row>
    <row r="244" spans="1:16" x14ac:dyDescent="0.35">
      <c r="F244" s="8"/>
      <c r="G244" s="8"/>
      <c r="H244" s="8"/>
      <c r="I244" s="8"/>
      <c r="J244" s="8"/>
      <c r="L244" s="2"/>
      <c r="M244" s="3"/>
      <c r="N244" s="2"/>
      <c r="O244" s="4"/>
      <c r="P244" s="4"/>
    </row>
    <row r="245" spans="1:16" x14ac:dyDescent="0.35">
      <c r="F245" s="8"/>
      <c r="G245" s="8"/>
      <c r="H245" s="8"/>
      <c r="I245" s="8"/>
      <c r="J245" s="8"/>
      <c r="L245" s="2"/>
      <c r="M245" s="3"/>
      <c r="N245" s="2"/>
      <c r="O245" s="4"/>
      <c r="P245" s="4"/>
    </row>
    <row r="246" spans="1:16" x14ac:dyDescent="0.35">
      <c r="F246" s="8"/>
      <c r="G246" s="8"/>
      <c r="H246" s="8"/>
      <c r="I246" s="8"/>
      <c r="J246" s="8"/>
      <c r="L246" s="4"/>
      <c r="M246" s="3"/>
      <c r="N246" s="4"/>
      <c r="O246" s="4"/>
      <c r="P246" s="4"/>
    </row>
    <row r="247" spans="1:16" x14ac:dyDescent="0.35">
      <c r="F247" s="8"/>
      <c r="G247" s="8"/>
      <c r="H247" s="8"/>
      <c r="I247" s="8"/>
      <c r="J247" s="8"/>
      <c r="L247" s="2"/>
      <c r="M247" s="3"/>
      <c r="N247" s="2"/>
      <c r="O247" s="4"/>
      <c r="P247" s="4"/>
    </row>
    <row r="248" spans="1:16" x14ac:dyDescent="0.35">
      <c r="F248" s="8"/>
      <c r="G248" s="8"/>
      <c r="H248" s="8"/>
      <c r="I248" s="8"/>
      <c r="J248" s="8"/>
      <c r="L248" s="2"/>
      <c r="M248" s="3"/>
      <c r="N248" s="2"/>
      <c r="O248" s="4"/>
      <c r="P248" s="4"/>
    </row>
    <row r="249" spans="1:16" x14ac:dyDescent="0.35">
      <c r="F249" s="8"/>
      <c r="G249" s="8"/>
      <c r="H249" s="8"/>
      <c r="I249" s="8"/>
      <c r="J249" s="8"/>
      <c r="L249" s="2"/>
      <c r="M249" s="3"/>
      <c r="N249" s="2"/>
      <c r="O249" s="4"/>
      <c r="P249" s="4"/>
    </row>
    <row r="250" spans="1:16" x14ac:dyDescent="0.35">
      <c r="F250" s="8"/>
      <c r="G250" s="8"/>
      <c r="H250" s="8"/>
      <c r="I250" s="8"/>
      <c r="J250" s="8"/>
      <c r="L250" s="2"/>
      <c r="M250" s="3"/>
      <c r="N250" s="2"/>
      <c r="O250" s="4"/>
      <c r="P250" s="4"/>
    </row>
    <row r="251" spans="1:16" x14ac:dyDescent="0.35">
      <c r="F251" s="8"/>
      <c r="G251" s="8"/>
      <c r="H251" s="8"/>
      <c r="I251" s="8"/>
      <c r="J251" s="8"/>
      <c r="L251" s="2"/>
      <c r="M251" s="3"/>
      <c r="N251" s="2"/>
      <c r="O251" s="4"/>
      <c r="P251" s="4"/>
    </row>
    <row r="252" spans="1:16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L252" s="2"/>
      <c r="M252" s="3"/>
      <c r="N252" s="2"/>
      <c r="O252" s="4"/>
      <c r="P252" s="4"/>
    </row>
    <row r="253" spans="1:16" x14ac:dyDescent="0.35">
      <c r="L253" s="2"/>
      <c r="M253" s="3"/>
      <c r="N253" s="2"/>
      <c r="O253" s="4"/>
      <c r="P253" s="4"/>
    </row>
    <row r="254" spans="1:16" x14ac:dyDescent="0.35">
      <c r="L254" s="2"/>
      <c r="M254" s="3"/>
      <c r="N254" s="2"/>
      <c r="O254" s="4"/>
      <c r="P254" s="4"/>
    </row>
    <row r="255" spans="1:16" x14ac:dyDescent="0.35">
      <c r="L255" s="2"/>
      <c r="M255" s="3"/>
      <c r="N255" s="2"/>
      <c r="O255" s="4"/>
      <c r="P255" s="5"/>
    </row>
  </sheetData>
  <sheetProtection selectLockedCells="1" selectUnlockedCells="1"/>
  <mergeCells count="185">
    <mergeCell ref="A236:E236"/>
    <mergeCell ref="A237:E237"/>
    <mergeCell ref="A238:E238"/>
    <mergeCell ref="A230:E230"/>
    <mergeCell ref="A231:E231"/>
    <mergeCell ref="A232:E232"/>
    <mergeCell ref="A233:E233"/>
    <mergeCell ref="A234:E234"/>
    <mergeCell ref="A235:E235"/>
    <mergeCell ref="A226:E226"/>
    <mergeCell ref="H226:I226"/>
    <mergeCell ref="A227:E227"/>
    <mergeCell ref="H227:I227"/>
    <mergeCell ref="A228:E228"/>
    <mergeCell ref="A229:E229"/>
    <mergeCell ref="A223:E223"/>
    <mergeCell ref="H223:I223"/>
    <mergeCell ref="A224:E224"/>
    <mergeCell ref="H224:I224"/>
    <mergeCell ref="A225:E225"/>
    <mergeCell ref="H225:I225"/>
    <mergeCell ref="A220:E221"/>
    <mergeCell ref="F220:F221"/>
    <mergeCell ref="H220:K220"/>
    <mergeCell ref="H221:K221"/>
    <mergeCell ref="A222:E222"/>
    <mergeCell ref="H222:K222"/>
    <mergeCell ref="A215:K215"/>
    <mergeCell ref="A216:E216"/>
    <mergeCell ref="A217:E217"/>
    <mergeCell ref="A218:E218"/>
    <mergeCell ref="H218:K218"/>
    <mergeCell ref="A219:E219"/>
    <mergeCell ref="G219:K219"/>
    <mergeCell ref="A212:I212"/>
    <mergeCell ref="J212:K212"/>
    <mergeCell ref="A213:I213"/>
    <mergeCell ref="J213:K213"/>
    <mergeCell ref="A214:I214"/>
    <mergeCell ref="J214:K214"/>
    <mergeCell ref="A209:I209"/>
    <mergeCell ref="J209:K209"/>
    <mergeCell ref="A210:I210"/>
    <mergeCell ref="J210:K210"/>
    <mergeCell ref="A211:I211"/>
    <mergeCell ref="J211:K211"/>
    <mergeCell ref="A206:I206"/>
    <mergeCell ref="J206:K206"/>
    <mergeCell ref="A207:I207"/>
    <mergeCell ref="J207:K207"/>
    <mergeCell ref="A208:I208"/>
    <mergeCell ref="J208:K208"/>
    <mergeCell ref="A203:I203"/>
    <mergeCell ref="J203:K203"/>
    <mergeCell ref="A204:I204"/>
    <mergeCell ref="J204:K204"/>
    <mergeCell ref="A205:I205"/>
    <mergeCell ref="J205:K205"/>
    <mergeCell ref="A200:I200"/>
    <mergeCell ref="J200:K200"/>
    <mergeCell ref="A201:I201"/>
    <mergeCell ref="J201:K201"/>
    <mergeCell ref="A202:I202"/>
    <mergeCell ref="J202:K202"/>
    <mergeCell ref="J159:J160"/>
    <mergeCell ref="K159:K160"/>
    <mergeCell ref="A161:K161"/>
    <mergeCell ref="A181:K181"/>
    <mergeCell ref="A199:I199"/>
    <mergeCell ref="J199:K199"/>
    <mergeCell ref="A157:I157"/>
    <mergeCell ref="J157:K157"/>
    <mergeCell ref="A158:I158"/>
    <mergeCell ref="J158:K158"/>
    <mergeCell ref="A159:A160"/>
    <mergeCell ref="B159:E159"/>
    <mergeCell ref="F159:F160"/>
    <mergeCell ref="G159:G160"/>
    <mergeCell ref="H159:H160"/>
    <mergeCell ref="I159:I160"/>
    <mergeCell ref="A154:I154"/>
    <mergeCell ref="J154:K154"/>
    <mergeCell ref="A155:I155"/>
    <mergeCell ref="J155:K155"/>
    <mergeCell ref="A156:I156"/>
    <mergeCell ref="J156:K156"/>
    <mergeCell ref="A146:K146"/>
    <mergeCell ref="A151:I151"/>
    <mergeCell ref="J151:K151"/>
    <mergeCell ref="A152:I152"/>
    <mergeCell ref="J152:K152"/>
    <mergeCell ref="A153:I153"/>
    <mergeCell ref="J153:K153"/>
    <mergeCell ref="A143:I143"/>
    <mergeCell ref="J143:K143"/>
    <mergeCell ref="A144:A145"/>
    <mergeCell ref="B144:E144"/>
    <mergeCell ref="F144:F145"/>
    <mergeCell ref="G144:G145"/>
    <mergeCell ref="H144:H145"/>
    <mergeCell ref="I144:I145"/>
    <mergeCell ref="J144:J145"/>
    <mergeCell ref="K144:K145"/>
    <mergeCell ref="A140:I140"/>
    <mergeCell ref="J140:K140"/>
    <mergeCell ref="A141:I141"/>
    <mergeCell ref="J141:K141"/>
    <mergeCell ref="A142:I142"/>
    <mergeCell ref="J142:K142"/>
    <mergeCell ref="A137:I137"/>
    <mergeCell ref="J137:K137"/>
    <mergeCell ref="A138:I138"/>
    <mergeCell ref="J138:K138"/>
    <mergeCell ref="A139:I139"/>
    <mergeCell ref="J139:K139"/>
    <mergeCell ref="J107:J108"/>
    <mergeCell ref="K107:K108"/>
    <mergeCell ref="A109:K109"/>
    <mergeCell ref="A126:K126"/>
    <mergeCell ref="A136:I136"/>
    <mergeCell ref="J136:K136"/>
    <mergeCell ref="A107:A108"/>
    <mergeCell ref="B107:E107"/>
    <mergeCell ref="F107:F108"/>
    <mergeCell ref="G107:G108"/>
    <mergeCell ref="H107:H108"/>
    <mergeCell ref="I107:I108"/>
    <mergeCell ref="A103:I103"/>
    <mergeCell ref="J103:K103"/>
    <mergeCell ref="A104:I104"/>
    <mergeCell ref="J104:K104"/>
    <mergeCell ref="A105:I105"/>
    <mergeCell ref="J105:K105"/>
    <mergeCell ref="A100:I100"/>
    <mergeCell ref="J100:K100"/>
    <mergeCell ref="A101:I101"/>
    <mergeCell ref="J101:K101"/>
    <mergeCell ref="A102:I102"/>
    <mergeCell ref="J102:K102"/>
    <mergeCell ref="J65:J66"/>
    <mergeCell ref="K65:K66"/>
    <mergeCell ref="A67:K67"/>
    <mergeCell ref="A98:I98"/>
    <mergeCell ref="J98:K98"/>
    <mergeCell ref="A99:I99"/>
    <mergeCell ref="J99:K99"/>
    <mergeCell ref="A65:A66"/>
    <mergeCell ref="B65:E65"/>
    <mergeCell ref="F65:F66"/>
    <mergeCell ref="G65:G66"/>
    <mergeCell ref="H65:H66"/>
    <mergeCell ref="I65:I66"/>
    <mergeCell ref="A62:I62"/>
    <mergeCell ref="J62:K62"/>
    <mergeCell ref="A63:I63"/>
    <mergeCell ref="J63:K63"/>
    <mergeCell ref="A64:I64"/>
    <mergeCell ref="J64:K64"/>
    <mergeCell ref="A59:I59"/>
    <mergeCell ref="J59:K59"/>
    <mergeCell ref="A60:I60"/>
    <mergeCell ref="J60:K60"/>
    <mergeCell ref="A61:I61"/>
    <mergeCell ref="J61:K61"/>
    <mergeCell ref="A38:K38"/>
    <mergeCell ref="A44:K44"/>
    <mergeCell ref="A57:I57"/>
    <mergeCell ref="J57:K57"/>
    <mergeCell ref="A58:I58"/>
    <mergeCell ref="J58:K58"/>
    <mergeCell ref="A4:K4"/>
    <mergeCell ref="A9:K9"/>
    <mergeCell ref="A14:K14"/>
    <mergeCell ref="A22:K22"/>
    <mergeCell ref="A25:K25"/>
    <mergeCell ref="A31:K31"/>
    <mergeCell ref="A1:K1"/>
    <mergeCell ref="A2:A3"/>
    <mergeCell ref="B2:E2"/>
    <mergeCell ref="F2:F3"/>
    <mergeCell ref="G2:G3"/>
    <mergeCell ref="H2:H3"/>
    <mergeCell ref="I2:I3"/>
    <mergeCell ref="J2:J3"/>
    <mergeCell ref="K2:K3"/>
  </mergeCells>
  <conditionalFormatting sqref="L230:L237 M233:O233 M235:O237 P255">
    <cfRule type="cellIs" dxfId="3" priority="1" stopIfTrue="1" operator="lessThan">
      <formula>0</formula>
    </cfRule>
  </conditionalFormatting>
  <pageMargins left="0.27559055118110237" right="7.874015748031496E-2" top="0.27559055118110237" bottom="0.23622047244094491" header="0.23622047244094491" footer="0.23622047244094491"/>
  <pageSetup orientation="portrait" blackAndWhite="1" r:id="rId1"/>
  <rowBreaks count="2" manualBreakCount="2">
    <brk id="106" max="10" man="1"/>
    <brk id="158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4D95-40CE-488F-80DC-B8E31C365BFE}">
  <dimension ref="A1:R255"/>
  <sheetViews>
    <sheetView zoomScale="98" zoomScaleNormal="98" workbookViewId="0">
      <selection sqref="A1:K1"/>
    </sheetView>
  </sheetViews>
  <sheetFormatPr defaultRowHeight="14.5" x14ac:dyDescent="0.35"/>
  <cols>
    <col min="1" max="5" width="5.7265625" customWidth="1"/>
    <col min="6" max="6" width="32" customWidth="1"/>
    <col min="7" max="7" width="10.54296875" customWidth="1"/>
    <col min="8" max="8" width="8.54296875" customWidth="1"/>
    <col min="9" max="9" width="8.7265625" customWidth="1"/>
    <col min="10" max="11" width="10.54296875" customWidth="1"/>
  </cols>
  <sheetData>
    <row r="1" spans="1:18" ht="15" thickBot="1" x14ac:dyDescent="0.4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6"/>
      <c r="R1" s="8"/>
    </row>
    <row r="2" spans="1:18" x14ac:dyDescent="0.35">
      <c r="A2" s="117" t="s">
        <v>0</v>
      </c>
      <c r="B2" s="119" t="s">
        <v>1</v>
      </c>
      <c r="C2" s="119"/>
      <c r="D2" s="119"/>
      <c r="E2" s="119"/>
      <c r="F2" s="94" t="s">
        <v>2</v>
      </c>
      <c r="G2" s="120" t="s">
        <v>3</v>
      </c>
      <c r="H2" s="94" t="s">
        <v>4</v>
      </c>
      <c r="I2" s="94" t="s">
        <v>5</v>
      </c>
      <c r="J2" s="94" t="s">
        <v>6</v>
      </c>
      <c r="K2" s="96" t="s">
        <v>7</v>
      </c>
    </row>
    <row r="3" spans="1:18" x14ac:dyDescent="0.35">
      <c r="A3" s="118"/>
      <c r="B3" s="27">
        <v>1</v>
      </c>
      <c r="C3" s="27">
        <v>2</v>
      </c>
      <c r="D3" s="27">
        <v>3</v>
      </c>
      <c r="E3" s="27">
        <v>4</v>
      </c>
      <c r="F3" s="95"/>
      <c r="G3" s="121"/>
      <c r="H3" s="95"/>
      <c r="I3" s="95"/>
      <c r="J3" s="95"/>
      <c r="K3" s="97"/>
    </row>
    <row r="4" spans="1:18" s="1" customFormat="1" ht="20.149999999999999" customHeight="1" thickBot="1" x14ac:dyDescent="0.6">
      <c r="A4" s="127" t="s">
        <v>8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8" x14ac:dyDescent="0.35">
      <c r="A5" s="28"/>
      <c r="B5" s="60"/>
      <c r="C5" s="52"/>
      <c r="D5" s="52"/>
      <c r="E5" s="53"/>
      <c r="F5" s="79" t="s">
        <v>143</v>
      </c>
      <c r="G5" s="35">
        <v>47.35</v>
      </c>
      <c r="H5" s="36">
        <v>35.99</v>
      </c>
      <c r="I5" s="28"/>
      <c r="J5" s="37">
        <f>(I5/G5)*H5</f>
        <v>0</v>
      </c>
      <c r="K5" s="38">
        <f>((SUM(A5:E5)/G5)-(I5/G5))*39</f>
        <v>0</v>
      </c>
    </row>
    <row r="6" spans="1:18" x14ac:dyDescent="0.35">
      <c r="A6" s="17"/>
      <c r="B6" s="61"/>
      <c r="C6" s="15"/>
      <c r="D6" s="15"/>
      <c r="E6" s="54"/>
      <c r="F6" s="51" t="s">
        <v>152</v>
      </c>
      <c r="G6" s="35">
        <v>63.4</v>
      </c>
      <c r="H6" s="36">
        <v>46.99</v>
      </c>
      <c r="I6" s="17"/>
      <c r="J6" s="37">
        <f t="shared" ref="J6:J56" si="0">(I6/G6)*H6</f>
        <v>0</v>
      </c>
      <c r="K6" s="38">
        <f>((SUM(A6:E6)/G6)-(I6/G6))*26</f>
        <v>0</v>
      </c>
    </row>
    <row r="7" spans="1:18" x14ac:dyDescent="0.35">
      <c r="A7" s="17"/>
      <c r="B7" s="61"/>
      <c r="C7" s="15"/>
      <c r="D7" s="15"/>
      <c r="E7" s="54"/>
      <c r="F7" s="50" t="s">
        <v>144</v>
      </c>
      <c r="G7" s="35">
        <v>43.65</v>
      </c>
      <c r="H7" s="36">
        <v>33.99</v>
      </c>
      <c r="I7" s="17"/>
      <c r="J7" s="37">
        <f t="shared" si="0"/>
        <v>0</v>
      </c>
      <c r="K7" s="38">
        <f t="shared" ref="K7:K13" si="1">((SUM(A7:E7)/G7)-(I7/G7))*39</f>
        <v>0</v>
      </c>
    </row>
    <row r="8" spans="1:18" x14ac:dyDescent="0.35">
      <c r="A8" s="17"/>
      <c r="B8" s="61"/>
      <c r="C8" s="15"/>
      <c r="D8" s="15"/>
      <c r="E8" s="54"/>
      <c r="F8" s="51"/>
      <c r="G8" s="35"/>
      <c r="H8" s="36"/>
      <c r="I8" s="17"/>
      <c r="J8" s="37" t="e">
        <f t="shared" si="0"/>
        <v>#DIV/0!</v>
      </c>
      <c r="K8" s="38" t="e">
        <f t="shared" si="1"/>
        <v>#DIV/0!</v>
      </c>
    </row>
    <row r="9" spans="1:18" x14ac:dyDescent="0.35">
      <c r="A9" s="135" t="s">
        <v>73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8" x14ac:dyDescent="0.35">
      <c r="A10" s="17"/>
      <c r="B10" s="61"/>
      <c r="C10" s="15"/>
      <c r="D10" s="15"/>
      <c r="E10" s="54"/>
      <c r="F10" s="51" t="s">
        <v>145</v>
      </c>
      <c r="G10" s="35">
        <v>39.200000000000003</v>
      </c>
      <c r="H10" s="36">
        <v>44.99</v>
      </c>
      <c r="I10" s="17"/>
      <c r="J10" s="37">
        <f t="shared" si="0"/>
        <v>0</v>
      </c>
      <c r="K10" s="38">
        <f t="shared" si="1"/>
        <v>0</v>
      </c>
    </row>
    <row r="11" spans="1:18" x14ac:dyDescent="0.35">
      <c r="A11" s="17"/>
      <c r="B11" s="61"/>
      <c r="C11" s="15"/>
      <c r="D11" s="15"/>
      <c r="E11" s="54"/>
      <c r="F11" s="51" t="s">
        <v>146</v>
      </c>
      <c r="G11" s="35">
        <v>38.200000000000003</v>
      </c>
      <c r="H11" s="36">
        <v>26.99</v>
      </c>
      <c r="I11" s="17"/>
      <c r="J11" s="37">
        <f t="shared" si="0"/>
        <v>0</v>
      </c>
      <c r="K11" s="38">
        <f t="shared" si="1"/>
        <v>0</v>
      </c>
    </row>
    <row r="12" spans="1:18" x14ac:dyDescent="0.35">
      <c r="A12" s="17"/>
      <c r="B12" s="61"/>
      <c r="C12" s="15"/>
      <c r="D12" s="15"/>
      <c r="E12" s="54"/>
      <c r="F12" s="51" t="s">
        <v>147</v>
      </c>
      <c r="G12" s="35">
        <v>44.15</v>
      </c>
      <c r="H12" s="36">
        <v>56.99</v>
      </c>
      <c r="I12" s="17"/>
      <c r="J12" s="37">
        <f t="shared" si="0"/>
        <v>0</v>
      </c>
      <c r="K12" s="38">
        <f t="shared" si="1"/>
        <v>0</v>
      </c>
    </row>
    <row r="13" spans="1:18" x14ac:dyDescent="0.35">
      <c r="A13" s="17"/>
      <c r="B13" s="61"/>
      <c r="C13" s="15"/>
      <c r="D13" s="15"/>
      <c r="E13" s="54"/>
      <c r="F13" s="51" t="s">
        <v>148</v>
      </c>
      <c r="G13" s="35">
        <v>47.95</v>
      </c>
      <c r="H13" s="36">
        <v>99.99</v>
      </c>
      <c r="I13" s="17"/>
      <c r="J13" s="37">
        <f t="shared" si="0"/>
        <v>0</v>
      </c>
      <c r="K13" s="38">
        <f t="shared" si="1"/>
        <v>0</v>
      </c>
    </row>
    <row r="14" spans="1:18" x14ac:dyDescent="0.35">
      <c r="A14" s="135" t="s">
        <v>74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7"/>
    </row>
    <row r="15" spans="1:18" x14ac:dyDescent="0.35">
      <c r="A15" s="17"/>
      <c r="B15" s="61"/>
      <c r="C15" s="15"/>
      <c r="D15" s="15"/>
      <c r="E15" s="54"/>
      <c r="F15" s="51" t="s">
        <v>153</v>
      </c>
      <c r="G15" s="35">
        <v>64.599999999999994</v>
      </c>
      <c r="H15" s="36">
        <v>41.99</v>
      </c>
      <c r="I15" s="17"/>
      <c r="J15" s="37">
        <f t="shared" si="0"/>
        <v>0</v>
      </c>
      <c r="K15" s="38">
        <f>((SUM(A15:E15)/G15)-(I15/G15))*39</f>
        <v>0</v>
      </c>
    </row>
    <row r="16" spans="1:18" x14ac:dyDescent="0.35">
      <c r="A16" s="17"/>
      <c r="B16" s="61"/>
      <c r="C16" s="15"/>
      <c r="D16" s="15"/>
      <c r="E16" s="54"/>
      <c r="F16" s="51" t="s">
        <v>75</v>
      </c>
      <c r="G16" s="35">
        <v>47.25</v>
      </c>
      <c r="H16" s="36">
        <v>30.99</v>
      </c>
      <c r="I16" s="17"/>
      <c r="J16" s="37">
        <f t="shared" si="0"/>
        <v>0</v>
      </c>
      <c r="K16" s="38">
        <f>((SUM(A16:E16)/G16)-(I16/G16))*39</f>
        <v>0</v>
      </c>
    </row>
    <row r="17" spans="1:11" x14ac:dyDescent="0.35">
      <c r="A17" s="17"/>
      <c r="B17" s="61"/>
      <c r="C17" s="15"/>
      <c r="D17" s="15"/>
      <c r="E17" s="54"/>
      <c r="F17" s="51" t="s">
        <v>213</v>
      </c>
      <c r="G17" s="35">
        <v>42.75</v>
      </c>
      <c r="H17" s="36">
        <v>27.99</v>
      </c>
      <c r="I17" s="17"/>
      <c r="J17" s="37">
        <f t="shared" si="0"/>
        <v>0</v>
      </c>
      <c r="K17" s="38">
        <f>((SUM(A17:E17)/G17)-(I17/G17))*26</f>
        <v>0</v>
      </c>
    </row>
    <row r="18" spans="1:11" x14ac:dyDescent="0.35">
      <c r="A18" s="17"/>
      <c r="B18" s="61"/>
      <c r="C18" s="15"/>
      <c r="D18" s="15"/>
      <c r="E18" s="54"/>
      <c r="F18" s="51" t="s">
        <v>214</v>
      </c>
      <c r="G18" s="35">
        <v>45</v>
      </c>
      <c r="H18" s="36">
        <v>26.99</v>
      </c>
      <c r="I18" s="17"/>
      <c r="J18" s="37">
        <f t="shared" si="0"/>
        <v>0</v>
      </c>
      <c r="K18" s="38">
        <f>((SUM(A18:E18)/G18)-(I18/G18))*26</f>
        <v>0</v>
      </c>
    </row>
    <row r="19" spans="1:11" x14ac:dyDescent="0.35">
      <c r="A19" s="17"/>
      <c r="B19" s="61"/>
      <c r="C19" s="15"/>
      <c r="D19" s="15"/>
      <c r="E19" s="54"/>
      <c r="F19" s="51" t="s">
        <v>77</v>
      </c>
      <c r="G19" s="35">
        <v>51.1</v>
      </c>
      <c r="H19" s="36">
        <v>36.99</v>
      </c>
      <c r="I19" s="17"/>
      <c r="J19" s="37">
        <f t="shared" si="0"/>
        <v>0</v>
      </c>
      <c r="K19" s="38">
        <f t="shared" ref="K19:K26" si="2">((SUM(A19:E19)/G19)-(I19/G19))*39</f>
        <v>0</v>
      </c>
    </row>
    <row r="20" spans="1:11" x14ac:dyDescent="0.35">
      <c r="A20" s="17"/>
      <c r="B20" s="61"/>
      <c r="C20" s="15"/>
      <c r="D20" s="15"/>
      <c r="E20" s="54"/>
      <c r="F20" s="51" t="s">
        <v>155</v>
      </c>
      <c r="G20" s="35">
        <v>59.25</v>
      </c>
      <c r="H20" s="36">
        <v>22.99</v>
      </c>
      <c r="I20" s="17"/>
      <c r="J20" s="37">
        <f t="shared" si="0"/>
        <v>0</v>
      </c>
      <c r="K20" s="38">
        <f t="shared" si="2"/>
        <v>0</v>
      </c>
    </row>
    <row r="21" spans="1:11" x14ac:dyDescent="0.35">
      <c r="A21" s="17"/>
      <c r="B21" s="61"/>
      <c r="C21" s="15"/>
      <c r="D21" s="15"/>
      <c r="E21" s="54"/>
      <c r="F21" s="51" t="s">
        <v>215</v>
      </c>
      <c r="G21" s="35">
        <v>53.05</v>
      </c>
      <c r="H21" s="36">
        <v>36.99</v>
      </c>
      <c r="I21" s="17"/>
      <c r="J21" s="37">
        <f t="shared" si="0"/>
        <v>0</v>
      </c>
      <c r="K21" s="38">
        <f t="shared" si="2"/>
        <v>0</v>
      </c>
    </row>
    <row r="22" spans="1:11" x14ac:dyDescent="0.35">
      <c r="A22" s="138" t="s">
        <v>78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</row>
    <row r="23" spans="1:11" x14ac:dyDescent="0.35">
      <c r="A23" s="17"/>
      <c r="B23" s="61"/>
      <c r="C23" s="15"/>
      <c r="D23" s="15"/>
      <c r="E23" s="54"/>
      <c r="F23" s="51" t="s">
        <v>79</v>
      </c>
      <c r="G23" s="35">
        <v>45.95</v>
      </c>
      <c r="H23" s="36">
        <v>39.99</v>
      </c>
      <c r="I23" s="17"/>
      <c r="J23" s="37">
        <f t="shared" si="0"/>
        <v>0</v>
      </c>
      <c r="K23" s="38">
        <f t="shared" si="2"/>
        <v>0</v>
      </c>
    </row>
    <row r="24" spans="1:11" x14ac:dyDescent="0.35">
      <c r="A24" s="17"/>
      <c r="B24" s="61"/>
      <c r="C24" s="15"/>
      <c r="D24" s="15"/>
      <c r="E24" s="54"/>
      <c r="F24" s="51" t="s">
        <v>80</v>
      </c>
      <c r="G24" s="35">
        <v>46.1</v>
      </c>
      <c r="H24" s="36">
        <v>49.99</v>
      </c>
      <c r="I24" s="17"/>
      <c r="J24" s="37">
        <f t="shared" si="0"/>
        <v>0</v>
      </c>
      <c r="K24" s="38">
        <f t="shared" si="2"/>
        <v>0</v>
      </c>
    </row>
    <row r="25" spans="1:11" x14ac:dyDescent="0.35">
      <c r="A25" s="138" t="s">
        <v>81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1" x14ac:dyDescent="0.35">
      <c r="A26" s="17"/>
      <c r="B26" s="61"/>
      <c r="C26" s="15"/>
      <c r="D26" s="15"/>
      <c r="E26" s="54"/>
      <c r="F26" s="51" t="s">
        <v>223</v>
      </c>
      <c r="G26" s="35">
        <v>43.6</v>
      </c>
      <c r="H26" s="36">
        <v>23.99</v>
      </c>
      <c r="I26" s="17"/>
      <c r="J26" s="37">
        <f t="shared" si="0"/>
        <v>0</v>
      </c>
      <c r="K26" s="38">
        <f t="shared" si="2"/>
        <v>0</v>
      </c>
    </row>
    <row r="27" spans="1:11" x14ac:dyDescent="0.35">
      <c r="A27" s="17"/>
      <c r="B27" s="61"/>
      <c r="C27" s="15"/>
      <c r="D27" s="15"/>
      <c r="E27" s="54"/>
      <c r="F27" s="51" t="s">
        <v>224</v>
      </c>
      <c r="G27" s="35">
        <v>66.55</v>
      </c>
      <c r="H27" s="36">
        <v>29.99</v>
      </c>
      <c r="I27" s="17"/>
      <c r="J27" s="37">
        <f t="shared" si="0"/>
        <v>0</v>
      </c>
      <c r="K27" s="38">
        <f>((SUM(A27:E27)/G27)-(I27/G27))*26</f>
        <v>0</v>
      </c>
    </row>
    <row r="28" spans="1:11" x14ac:dyDescent="0.35">
      <c r="A28" s="17"/>
      <c r="B28" s="61"/>
      <c r="C28" s="15"/>
      <c r="D28" s="15"/>
      <c r="E28" s="54"/>
      <c r="F28" s="51" t="s">
        <v>83</v>
      </c>
      <c r="G28" s="35"/>
      <c r="H28" s="36">
        <v>26.99</v>
      </c>
      <c r="I28" s="17"/>
      <c r="J28" s="37" t="e">
        <f t="shared" si="0"/>
        <v>#DIV/0!</v>
      </c>
      <c r="K28" s="38" t="e">
        <f>((SUM(A28:E28)/G28)-(I28/G28))*26</f>
        <v>#DIV/0!</v>
      </c>
    </row>
    <row r="29" spans="1:11" x14ac:dyDescent="0.35">
      <c r="A29" s="17"/>
      <c r="B29" s="61"/>
      <c r="C29" s="15"/>
      <c r="D29" s="15"/>
      <c r="E29" s="54"/>
      <c r="F29" s="51" t="s">
        <v>84</v>
      </c>
      <c r="G29" s="35">
        <v>45.1</v>
      </c>
      <c r="H29" s="36">
        <v>49.99</v>
      </c>
      <c r="I29" s="17"/>
      <c r="J29" s="37">
        <f t="shared" si="0"/>
        <v>0</v>
      </c>
      <c r="K29" s="38">
        <f>((SUM(A29:E29)/G29)-(I29/G29))*26</f>
        <v>0</v>
      </c>
    </row>
    <row r="30" spans="1:11" x14ac:dyDescent="0.35">
      <c r="A30" s="17"/>
      <c r="B30" s="61"/>
      <c r="C30" s="15"/>
      <c r="D30" s="15"/>
      <c r="E30" s="54"/>
      <c r="F30" s="51" t="s">
        <v>85</v>
      </c>
      <c r="G30" s="35">
        <v>45.45</v>
      </c>
      <c r="H30" s="36">
        <v>28.99</v>
      </c>
      <c r="I30" s="17"/>
      <c r="J30" s="37">
        <f t="shared" si="0"/>
        <v>0</v>
      </c>
      <c r="K30" s="38">
        <f>((SUM(A30:E30)/G30)-(I30/G30))*39</f>
        <v>0</v>
      </c>
    </row>
    <row r="31" spans="1:11" x14ac:dyDescent="0.35">
      <c r="A31" s="138" t="s">
        <v>86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40"/>
    </row>
    <row r="32" spans="1:11" x14ac:dyDescent="0.35">
      <c r="A32" s="17"/>
      <c r="B32" s="55"/>
      <c r="C32" s="16"/>
      <c r="D32" s="16"/>
      <c r="E32" s="56"/>
      <c r="F32" s="51" t="s">
        <v>87</v>
      </c>
      <c r="G32" s="35">
        <v>44.1</v>
      </c>
      <c r="H32" s="36">
        <v>25.99</v>
      </c>
      <c r="I32" s="17"/>
      <c r="J32" s="37">
        <f t="shared" si="0"/>
        <v>0</v>
      </c>
      <c r="K32" s="38">
        <f>((SUM(A32:E32)/G32)-(I32/G32))*26</f>
        <v>0</v>
      </c>
    </row>
    <row r="33" spans="1:11" x14ac:dyDescent="0.35">
      <c r="A33" s="17"/>
      <c r="B33" s="55"/>
      <c r="C33" s="16"/>
      <c r="D33" s="16"/>
      <c r="E33" s="56"/>
      <c r="F33" s="51" t="s">
        <v>216</v>
      </c>
      <c r="G33" s="35">
        <v>41.65</v>
      </c>
      <c r="H33" s="36">
        <v>24.99</v>
      </c>
      <c r="I33" s="17"/>
      <c r="J33" s="37">
        <f t="shared" si="0"/>
        <v>0</v>
      </c>
      <c r="K33" s="38">
        <f>((SUM(A33:E33)/G33)-(I33/G33))*26</f>
        <v>0</v>
      </c>
    </row>
    <row r="34" spans="1:11" x14ac:dyDescent="0.35">
      <c r="A34" s="17"/>
      <c r="B34" s="55"/>
      <c r="C34" s="16"/>
      <c r="D34" s="16"/>
      <c r="E34" s="56"/>
      <c r="F34" s="51" t="s">
        <v>217</v>
      </c>
      <c r="G34" s="35">
        <v>53.4</v>
      </c>
      <c r="H34" s="36">
        <v>36.99</v>
      </c>
      <c r="I34" s="17"/>
      <c r="J34" s="37">
        <f>(I34/G34)*H34</f>
        <v>0</v>
      </c>
      <c r="K34" s="38">
        <f>((SUM(A34:E34)/G34)-(I34/G34))*26</f>
        <v>0</v>
      </c>
    </row>
    <row r="35" spans="1:11" x14ac:dyDescent="0.35">
      <c r="A35" s="17"/>
      <c r="B35" s="55"/>
      <c r="C35" s="16"/>
      <c r="D35" s="16"/>
      <c r="E35" s="56"/>
      <c r="F35" s="51" t="s">
        <v>218</v>
      </c>
      <c r="G35" s="35">
        <v>60.25</v>
      </c>
      <c r="H35" s="36">
        <v>57.99</v>
      </c>
      <c r="I35" s="17"/>
      <c r="J35" s="37">
        <f t="shared" si="0"/>
        <v>0</v>
      </c>
      <c r="K35" s="38">
        <f>((SUM(A35:E35)/G35)-(I35/G35))*26</f>
        <v>0</v>
      </c>
    </row>
    <row r="36" spans="1:11" x14ac:dyDescent="0.35">
      <c r="A36" s="17"/>
      <c r="B36" s="55"/>
      <c r="C36" s="16"/>
      <c r="D36" s="16"/>
      <c r="E36" s="56"/>
      <c r="F36" s="51" t="s">
        <v>219</v>
      </c>
      <c r="G36" s="35">
        <v>59.75</v>
      </c>
      <c r="H36" s="36">
        <v>36.99</v>
      </c>
      <c r="I36" s="17"/>
      <c r="J36" s="37">
        <f t="shared" si="0"/>
        <v>0</v>
      </c>
      <c r="K36" s="38">
        <f>((SUM(A36:E36)/G36)-(I36/G36))*13</f>
        <v>0</v>
      </c>
    </row>
    <row r="37" spans="1:11" x14ac:dyDescent="0.35">
      <c r="A37" s="17"/>
      <c r="B37" s="76"/>
      <c r="C37" s="77"/>
      <c r="D37" s="77"/>
      <c r="E37" s="78"/>
      <c r="F37" s="51" t="s">
        <v>220</v>
      </c>
      <c r="G37" s="35">
        <v>41.05</v>
      </c>
      <c r="H37" s="36">
        <v>22.99</v>
      </c>
      <c r="I37" s="17"/>
      <c r="J37" s="37">
        <f t="shared" si="0"/>
        <v>0</v>
      </c>
      <c r="K37" s="38">
        <f>((SUM(A37:E37)/G37)-(I37/G37))*39</f>
        <v>0</v>
      </c>
    </row>
    <row r="38" spans="1:11" x14ac:dyDescent="0.35">
      <c r="A38" s="141" t="s">
        <v>90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3"/>
    </row>
    <row r="39" spans="1:11" x14ac:dyDescent="0.35">
      <c r="A39" s="17"/>
      <c r="B39" s="55"/>
      <c r="C39" s="16"/>
      <c r="D39" s="16"/>
      <c r="E39" s="56"/>
      <c r="F39" s="50" t="s">
        <v>92</v>
      </c>
      <c r="G39" s="35">
        <v>61.95</v>
      </c>
      <c r="H39" s="36">
        <v>34.99</v>
      </c>
      <c r="I39" s="17"/>
      <c r="J39" s="37">
        <f t="shared" si="0"/>
        <v>0</v>
      </c>
      <c r="K39" s="38">
        <f t="shared" ref="K39:K56" si="3">((SUM(A39:E39)/G39)-(I39/G39))*39</f>
        <v>0</v>
      </c>
    </row>
    <row r="40" spans="1:11" x14ac:dyDescent="0.35">
      <c r="A40" s="17"/>
      <c r="B40" s="55"/>
      <c r="C40" s="16"/>
      <c r="D40" s="16"/>
      <c r="E40" s="56"/>
      <c r="F40" s="50" t="s">
        <v>163</v>
      </c>
      <c r="G40" s="35"/>
      <c r="H40" s="36"/>
      <c r="I40" s="17"/>
      <c r="J40" s="37" t="e">
        <f t="shared" si="0"/>
        <v>#DIV/0!</v>
      </c>
      <c r="K40" s="38" t="e">
        <f t="shared" ref="K40:K41" si="4">((SUM(A40:E40)/G40)-(I40/G40))*39</f>
        <v>#DIV/0!</v>
      </c>
    </row>
    <row r="41" spans="1:11" x14ac:dyDescent="0.35">
      <c r="A41" s="17"/>
      <c r="B41" s="55"/>
      <c r="C41" s="16"/>
      <c r="D41" s="16"/>
      <c r="E41" s="56"/>
      <c r="F41" s="50" t="s">
        <v>160</v>
      </c>
      <c r="G41" s="35">
        <v>43.45</v>
      </c>
      <c r="H41" s="36">
        <v>34.99</v>
      </c>
      <c r="I41" s="17"/>
      <c r="J41" s="37">
        <f t="shared" si="0"/>
        <v>0</v>
      </c>
      <c r="K41" s="38">
        <f t="shared" si="4"/>
        <v>0</v>
      </c>
    </row>
    <row r="42" spans="1:11" x14ac:dyDescent="0.35">
      <c r="A42" s="17"/>
      <c r="B42" s="55"/>
      <c r="C42" s="16"/>
      <c r="D42" s="16"/>
      <c r="E42" s="56"/>
      <c r="F42" s="50" t="s">
        <v>91</v>
      </c>
      <c r="G42" s="35">
        <v>50.85</v>
      </c>
      <c r="H42" s="36">
        <v>59.99</v>
      </c>
      <c r="I42" s="17"/>
      <c r="J42" s="37">
        <f t="shared" si="0"/>
        <v>0</v>
      </c>
      <c r="K42" s="38">
        <f t="shared" si="3"/>
        <v>0</v>
      </c>
    </row>
    <row r="43" spans="1:11" x14ac:dyDescent="0.35">
      <c r="A43" s="17"/>
      <c r="B43" s="55">
        <v>1</v>
      </c>
      <c r="C43" s="16"/>
      <c r="D43" s="16"/>
      <c r="E43" s="56"/>
      <c r="F43" s="50" t="s">
        <v>151</v>
      </c>
      <c r="G43" s="35">
        <v>47.3</v>
      </c>
      <c r="H43" s="36">
        <v>29.99</v>
      </c>
      <c r="I43" s="17"/>
      <c r="J43" s="37">
        <f t="shared" si="0"/>
        <v>0</v>
      </c>
      <c r="K43" s="38">
        <f t="shared" si="3"/>
        <v>0.82452431289640593</v>
      </c>
    </row>
    <row r="44" spans="1:11" x14ac:dyDescent="0.35">
      <c r="A44" s="138" t="s">
        <v>93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40"/>
    </row>
    <row r="45" spans="1:11" x14ac:dyDescent="0.35">
      <c r="A45" s="17"/>
      <c r="B45" s="55"/>
      <c r="C45" s="16"/>
      <c r="D45" s="16"/>
      <c r="E45" s="56"/>
      <c r="F45" s="50" t="s">
        <v>94</v>
      </c>
      <c r="G45" s="35">
        <v>43.8</v>
      </c>
      <c r="H45" s="36">
        <v>26.99</v>
      </c>
      <c r="I45" s="17"/>
      <c r="J45" s="37">
        <f t="shared" si="0"/>
        <v>0</v>
      </c>
      <c r="K45" s="38">
        <f t="shared" si="3"/>
        <v>0</v>
      </c>
    </row>
    <row r="46" spans="1:11" x14ac:dyDescent="0.35">
      <c r="A46" s="17"/>
      <c r="B46" s="55"/>
      <c r="C46" s="16"/>
      <c r="D46" s="16"/>
      <c r="E46" s="56"/>
      <c r="F46" s="50" t="s">
        <v>95</v>
      </c>
      <c r="G46" s="35">
        <v>43.8</v>
      </c>
      <c r="H46" s="36">
        <v>28.99</v>
      </c>
      <c r="I46" s="17"/>
      <c r="J46" s="37">
        <f t="shared" si="0"/>
        <v>0</v>
      </c>
      <c r="K46" s="38">
        <f t="shared" si="3"/>
        <v>0</v>
      </c>
    </row>
    <row r="47" spans="1:11" x14ac:dyDescent="0.35">
      <c r="A47" s="17"/>
      <c r="B47" s="55"/>
      <c r="C47" s="16"/>
      <c r="D47" s="16"/>
      <c r="E47" s="56"/>
      <c r="F47" s="50" t="s">
        <v>69</v>
      </c>
      <c r="G47" s="35">
        <v>50.4</v>
      </c>
      <c r="H47" s="36">
        <v>44.99</v>
      </c>
      <c r="I47" s="17"/>
      <c r="J47" s="37">
        <f t="shared" si="0"/>
        <v>0</v>
      </c>
      <c r="K47" s="38">
        <f t="shared" si="3"/>
        <v>0</v>
      </c>
    </row>
    <row r="48" spans="1:11" x14ac:dyDescent="0.35">
      <c r="A48" s="17"/>
      <c r="B48" s="55"/>
      <c r="C48" s="16"/>
      <c r="D48" s="16"/>
      <c r="E48" s="56"/>
      <c r="F48" s="50" t="s">
        <v>96</v>
      </c>
      <c r="G48" s="35">
        <v>61.3</v>
      </c>
      <c r="H48" s="36">
        <v>33.99</v>
      </c>
      <c r="I48" s="17"/>
      <c r="J48" s="37">
        <f t="shared" si="0"/>
        <v>0</v>
      </c>
      <c r="K48" s="38">
        <f t="shared" si="3"/>
        <v>0</v>
      </c>
    </row>
    <row r="49" spans="1:11" x14ac:dyDescent="0.35">
      <c r="A49" s="17"/>
      <c r="B49" s="55"/>
      <c r="C49" s="16"/>
      <c r="D49" s="16"/>
      <c r="E49" s="56"/>
      <c r="F49" s="50" t="s">
        <v>97</v>
      </c>
      <c r="G49" s="35">
        <v>50.25</v>
      </c>
      <c r="H49" s="36">
        <v>27.99</v>
      </c>
      <c r="I49" s="17"/>
      <c r="J49" s="37">
        <f t="shared" si="0"/>
        <v>0</v>
      </c>
      <c r="K49" s="38">
        <f t="shared" si="3"/>
        <v>0</v>
      </c>
    </row>
    <row r="50" spans="1:11" x14ac:dyDescent="0.35">
      <c r="A50" s="17"/>
      <c r="B50" s="55"/>
      <c r="C50" s="16"/>
      <c r="D50" s="16"/>
      <c r="E50" s="56"/>
      <c r="F50" s="50" t="s">
        <v>98</v>
      </c>
      <c r="G50" s="35">
        <v>42.45</v>
      </c>
      <c r="H50" s="36">
        <v>27.99</v>
      </c>
      <c r="I50" s="17"/>
      <c r="J50" s="37">
        <f t="shared" si="0"/>
        <v>0</v>
      </c>
      <c r="K50" s="38">
        <f t="shared" si="3"/>
        <v>0</v>
      </c>
    </row>
    <row r="51" spans="1:11" x14ac:dyDescent="0.35">
      <c r="A51" s="17"/>
      <c r="B51" s="55"/>
      <c r="C51" s="16"/>
      <c r="D51" s="16"/>
      <c r="E51" s="56"/>
      <c r="F51" s="50" t="s">
        <v>225</v>
      </c>
      <c r="G51" s="35">
        <v>42.45</v>
      </c>
      <c r="H51" s="36">
        <v>27.99</v>
      </c>
      <c r="I51" s="17"/>
      <c r="J51" s="37">
        <f t="shared" si="0"/>
        <v>0</v>
      </c>
      <c r="K51" s="38">
        <f t="shared" si="3"/>
        <v>0</v>
      </c>
    </row>
    <row r="52" spans="1:11" x14ac:dyDescent="0.35">
      <c r="A52" s="17"/>
      <c r="B52" s="55"/>
      <c r="C52" s="16"/>
      <c r="D52" s="16"/>
      <c r="E52" s="56"/>
      <c r="F52" s="50" t="s">
        <v>158</v>
      </c>
      <c r="G52" s="35">
        <v>42.45</v>
      </c>
      <c r="H52" s="36">
        <v>27.99</v>
      </c>
      <c r="I52" s="17"/>
      <c r="J52" s="37">
        <f t="shared" si="0"/>
        <v>0</v>
      </c>
      <c r="K52" s="38">
        <f t="shared" si="3"/>
        <v>0</v>
      </c>
    </row>
    <row r="53" spans="1:11" x14ac:dyDescent="0.35">
      <c r="A53" s="17"/>
      <c r="B53" s="55"/>
      <c r="C53" s="16"/>
      <c r="D53" s="16"/>
      <c r="E53" s="56"/>
      <c r="F53" s="50" t="s">
        <v>159</v>
      </c>
      <c r="G53" s="35"/>
      <c r="H53" s="36">
        <v>31.99</v>
      </c>
      <c r="I53" s="17"/>
      <c r="J53" s="37" t="e">
        <f t="shared" si="0"/>
        <v>#DIV/0!</v>
      </c>
      <c r="K53" s="38" t="e">
        <f t="shared" si="3"/>
        <v>#DIV/0!</v>
      </c>
    </row>
    <row r="54" spans="1:11" x14ac:dyDescent="0.35">
      <c r="A54" s="17"/>
      <c r="B54" s="55"/>
      <c r="C54" s="16"/>
      <c r="D54" s="16"/>
      <c r="E54" s="56"/>
      <c r="F54" s="50" t="s">
        <v>176</v>
      </c>
      <c r="G54" s="35"/>
      <c r="H54" s="36"/>
      <c r="I54" s="17"/>
      <c r="J54" s="37" t="e">
        <f t="shared" si="0"/>
        <v>#DIV/0!</v>
      </c>
      <c r="K54" s="38" t="e">
        <f t="shared" si="3"/>
        <v>#DIV/0!</v>
      </c>
    </row>
    <row r="55" spans="1:11" x14ac:dyDescent="0.35">
      <c r="A55" s="17"/>
      <c r="B55" s="55"/>
      <c r="C55" s="16"/>
      <c r="D55" s="16"/>
      <c r="E55" s="56"/>
      <c r="F55" s="50" t="s">
        <v>180</v>
      </c>
      <c r="G55" s="35">
        <v>48.45</v>
      </c>
      <c r="H55" s="36">
        <v>34.99</v>
      </c>
      <c r="I55" s="17"/>
      <c r="J55" s="37">
        <f t="shared" si="0"/>
        <v>0</v>
      </c>
      <c r="K55" s="38">
        <f t="shared" si="3"/>
        <v>0</v>
      </c>
    </row>
    <row r="56" spans="1:11" ht="15" thickBot="1" x14ac:dyDescent="0.4">
      <c r="A56" s="17"/>
      <c r="B56" s="57"/>
      <c r="C56" s="58"/>
      <c r="D56" s="58"/>
      <c r="E56" s="59"/>
      <c r="F56" s="50"/>
      <c r="G56" s="35"/>
      <c r="H56" s="36"/>
      <c r="I56" s="17"/>
      <c r="J56" s="37" t="e">
        <f t="shared" si="0"/>
        <v>#DIV/0!</v>
      </c>
      <c r="K56" s="38" t="e">
        <f t="shared" si="3"/>
        <v>#DIV/0!</v>
      </c>
    </row>
    <row r="57" spans="1:11" ht="20.149999999999999" customHeight="1" thickBot="1" x14ac:dyDescent="0.6">
      <c r="A57" s="130" t="s">
        <v>9</v>
      </c>
      <c r="B57" s="131"/>
      <c r="C57" s="131"/>
      <c r="D57" s="131"/>
      <c r="E57" s="131"/>
      <c r="F57" s="132"/>
      <c r="G57" s="132"/>
      <c r="H57" s="132"/>
      <c r="I57" s="133"/>
      <c r="J57" s="126">
        <v>1713.9906492157534</v>
      </c>
      <c r="K57" s="88"/>
    </row>
    <row r="58" spans="1:11" ht="20.149999999999999" customHeight="1" thickBot="1" x14ac:dyDescent="0.6">
      <c r="A58" s="130" t="s">
        <v>10</v>
      </c>
      <c r="B58" s="132"/>
      <c r="C58" s="132"/>
      <c r="D58" s="132"/>
      <c r="E58" s="132"/>
      <c r="F58" s="132"/>
      <c r="G58" s="132"/>
      <c r="H58" s="132"/>
      <c r="I58" s="134"/>
      <c r="J58" s="122">
        <v>0</v>
      </c>
      <c r="K58" s="90"/>
    </row>
    <row r="59" spans="1:11" ht="20.149999999999999" customHeight="1" thickBot="1" x14ac:dyDescent="0.6">
      <c r="A59" s="130" t="s">
        <v>55</v>
      </c>
      <c r="B59" s="132"/>
      <c r="C59" s="132"/>
      <c r="D59" s="132"/>
      <c r="E59" s="132"/>
      <c r="F59" s="132"/>
      <c r="G59" s="132"/>
      <c r="H59" s="132"/>
      <c r="I59" s="134"/>
      <c r="J59" s="89">
        <v>0</v>
      </c>
      <c r="K59" s="90"/>
    </row>
    <row r="60" spans="1:11" ht="20.149999999999999" customHeight="1" thickBot="1" x14ac:dyDescent="0.6">
      <c r="A60" s="130" t="s">
        <v>11</v>
      </c>
      <c r="B60" s="132"/>
      <c r="C60" s="132"/>
      <c r="D60" s="132"/>
      <c r="E60" s="132"/>
      <c r="F60" s="132"/>
      <c r="G60" s="132"/>
      <c r="H60" s="132"/>
      <c r="I60" s="134"/>
      <c r="J60" s="126" t="e">
        <f>SUM(J5:J56)</f>
        <v>#DIV/0!</v>
      </c>
      <c r="K60" s="88"/>
    </row>
    <row r="61" spans="1:11" ht="20.149999999999999" customHeight="1" thickBot="1" x14ac:dyDescent="0.6">
      <c r="A61" s="109" t="s">
        <v>12</v>
      </c>
      <c r="B61" s="110"/>
      <c r="C61" s="110"/>
      <c r="D61" s="110"/>
      <c r="E61" s="110"/>
      <c r="F61" s="110"/>
      <c r="G61" s="110"/>
      <c r="H61" s="110"/>
      <c r="I61" s="111"/>
      <c r="J61" s="122"/>
      <c r="K61" s="90"/>
    </row>
    <row r="62" spans="1:11" ht="20.149999999999999" customHeight="1" thickBot="1" x14ac:dyDescent="0.6">
      <c r="A62" s="123" t="s">
        <v>13</v>
      </c>
      <c r="B62" s="124"/>
      <c r="C62" s="124"/>
      <c r="D62" s="124"/>
      <c r="E62" s="124"/>
      <c r="F62" s="124"/>
      <c r="G62" s="124"/>
      <c r="H62" s="124"/>
      <c r="I62" s="125"/>
      <c r="J62" s="126" t="e">
        <f>J57+J58+J59-J60</f>
        <v>#DIV/0!</v>
      </c>
      <c r="K62" s="88"/>
    </row>
    <row r="63" spans="1:11" ht="20.149999999999999" customHeight="1" thickBot="1" x14ac:dyDescent="0.6">
      <c r="A63" s="109" t="s">
        <v>14</v>
      </c>
      <c r="B63" s="110"/>
      <c r="C63" s="110"/>
      <c r="D63" s="110"/>
      <c r="E63" s="110"/>
      <c r="F63" s="110"/>
      <c r="G63" s="110"/>
      <c r="H63" s="110"/>
      <c r="I63" s="111"/>
      <c r="J63" s="144" t="e">
        <f>J62/J61</f>
        <v>#DIV/0!</v>
      </c>
      <c r="K63" s="113"/>
    </row>
    <row r="64" spans="1:11" ht="20.149999999999999" customHeight="1" thickBot="1" x14ac:dyDescent="0.6">
      <c r="A64" s="109" t="s">
        <v>56</v>
      </c>
      <c r="B64" s="110"/>
      <c r="C64" s="110"/>
      <c r="D64" s="110"/>
      <c r="E64" s="110"/>
      <c r="F64" s="110"/>
      <c r="G64" s="110"/>
      <c r="H64" s="110"/>
      <c r="I64" s="111"/>
      <c r="J64" s="144" t="e">
        <f>((F224+F225+F227-J60)/F226)</f>
        <v>#DIV/0!</v>
      </c>
      <c r="K64" s="113"/>
    </row>
    <row r="65" spans="1:16" x14ac:dyDescent="0.35">
      <c r="A65" s="117" t="s">
        <v>0</v>
      </c>
      <c r="B65" s="119" t="s">
        <v>1</v>
      </c>
      <c r="C65" s="119"/>
      <c r="D65" s="119"/>
      <c r="E65" s="119"/>
      <c r="F65" s="94" t="s">
        <v>2</v>
      </c>
      <c r="G65" s="94" t="s">
        <v>3</v>
      </c>
      <c r="H65" s="94" t="s">
        <v>4</v>
      </c>
      <c r="I65" s="94" t="s">
        <v>5</v>
      </c>
      <c r="J65" s="94" t="s">
        <v>6</v>
      </c>
      <c r="K65" s="96" t="s">
        <v>7</v>
      </c>
    </row>
    <row r="66" spans="1:16" ht="20.149999999999999" customHeight="1" x14ac:dyDescent="0.35">
      <c r="A66" s="118"/>
      <c r="B66" s="27">
        <v>1</v>
      </c>
      <c r="C66" s="27">
        <v>2</v>
      </c>
      <c r="D66" s="27">
        <v>3</v>
      </c>
      <c r="E66" s="27">
        <v>4</v>
      </c>
      <c r="F66" s="95"/>
      <c r="G66" s="95"/>
      <c r="H66" s="95"/>
      <c r="I66" s="95"/>
      <c r="J66" s="95"/>
      <c r="K66" s="97"/>
    </row>
    <row r="67" spans="1:16" ht="24" thickBot="1" x14ac:dyDescent="0.6">
      <c r="A67" s="98" t="s">
        <v>122</v>
      </c>
      <c r="B67" s="99"/>
      <c r="C67" s="99"/>
      <c r="D67" s="99"/>
      <c r="E67" s="99"/>
      <c r="F67" s="99"/>
      <c r="G67" s="99"/>
      <c r="H67" s="99"/>
      <c r="I67" s="99"/>
      <c r="J67" s="100"/>
      <c r="K67" s="101"/>
    </row>
    <row r="68" spans="1:16" x14ac:dyDescent="0.35">
      <c r="A68" s="28"/>
      <c r="B68" s="14"/>
      <c r="C68" s="14"/>
      <c r="D68" s="14"/>
      <c r="E68" s="14"/>
      <c r="F68" s="34" t="s">
        <v>138</v>
      </c>
      <c r="G68" s="35"/>
      <c r="H68" s="36">
        <v>22.99</v>
      </c>
      <c r="I68" s="28"/>
      <c r="J68" s="63" t="e">
        <f>(I68/G68)*H68</f>
        <v>#DIV/0!</v>
      </c>
      <c r="K68" s="40">
        <f>(SUM(A68:E68))-I68</f>
        <v>0</v>
      </c>
      <c r="O68" s="49"/>
      <c r="P68" s="49"/>
    </row>
    <row r="69" spans="1:16" x14ac:dyDescent="0.35">
      <c r="A69" s="28"/>
      <c r="B69" s="14"/>
      <c r="C69" s="14"/>
      <c r="D69" s="14"/>
      <c r="E69" s="14"/>
      <c r="F69" s="34" t="s">
        <v>221</v>
      </c>
      <c r="G69" s="35">
        <v>69.75</v>
      </c>
      <c r="H69" s="36">
        <v>39.99</v>
      </c>
      <c r="I69" s="28"/>
      <c r="J69" s="63">
        <f t="shared" ref="J69:J97" si="5">(I69/G69)*H69</f>
        <v>0</v>
      </c>
      <c r="K69" s="40">
        <f>(SUM(A69:E69))-I69</f>
        <v>0</v>
      </c>
      <c r="O69" s="49"/>
      <c r="P69" s="49"/>
    </row>
    <row r="70" spans="1:16" x14ac:dyDescent="0.35">
      <c r="A70" s="28"/>
      <c r="B70" s="14"/>
      <c r="C70" s="14"/>
      <c r="D70" s="14"/>
      <c r="E70" s="14"/>
      <c r="F70" s="34" t="s">
        <v>126</v>
      </c>
      <c r="G70" s="35">
        <v>49.65</v>
      </c>
      <c r="H70" s="36">
        <v>24.99</v>
      </c>
      <c r="I70" s="28"/>
      <c r="J70" s="63">
        <f t="shared" si="5"/>
        <v>0</v>
      </c>
      <c r="K70" s="40">
        <f t="shared" ref="K70:K97" si="6">(SUM(A70:E70))-I70</f>
        <v>0</v>
      </c>
      <c r="O70" s="49"/>
      <c r="P70" s="49"/>
    </row>
    <row r="71" spans="1:16" x14ac:dyDescent="0.35">
      <c r="A71" s="28"/>
      <c r="B71" s="14"/>
      <c r="C71" s="14"/>
      <c r="D71" s="14"/>
      <c r="E71" s="14"/>
      <c r="F71" s="34" t="s">
        <v>124</v>
      </c>
      <c r="G71" s="35">
        <v>41.9</v>
      </c>
      <c r="H71" s="36">
        <v>20.99</v>
      </c>
      <c r="I71" s="28"/>
      <c r="J71" s="63">
        <f t="shared" si="5"/>
        <v>0</v>
      </c>
      <c r="K71" s="40">
        <f t="shared" si="6"/>
        <v>0</v>
      </c>
      <c r="O71" s="49"/>
      <c r="P71" s="49"/>
    </row>
    <row r="72" spans="1:16" x14ac:dyDescent="0.35">
      <c r="A72" s="28"/>
      <c r="B72" s="14"/>
      <c r="C72" s="14"/>
      <c r="D72" s="14"/>
      <c r="E72" s="14"/>
      <c r="F72" s="34" t="s">
        <v>125</v>
      </c>
      <c r="G72" s="35">
        <v>41.9</v>
      </c>
      <c r="H72" s="36">
        <v>20.99</v>
      </c>
      <c r="I72" s="28"/>
      <c r="J72" s="63">
        <f t="shared" si="5"/>
        <v>0</v>
      </c>
      <c r="K72" s="40">
        <f t="shared" si="6"/>
        <v>0</v>
      </c>
      <c r="O72" s="49"/>
      <c r="P72" s="49"/>
    </row>
    <row r="73" spans="1:16" x14ac:dyDescent="0.35">
      <c r="A73" s="28"/>
      <c r="B73" s="14"/>
      <c r="C73" s="14"/>
      <c r="D73" s="14"/>
      <c r="E73" s="14"/>
      <c r="F73" s="34" t="s">
        <v>123</v>
      </c>
      <c r="G73" s="35">
        <v>41.9</v>
      </c>
      <c r="H73" s="36">
        <v>21.99</v>
      </c>
      <c r="I73" s="28"/>
      <c r="J73" s="63">
        <f t="shared" si="5"/>
        <v>0</v>
      </c>
      <c r="K73" s="40">
        <f t="shared" si="6"/>
        <v>0</v>
      </c>
      <c r="O73" s="49"/>
      <c r="P73" s="49"/>
    </row>
    <row r="74" spans="1:16" x14ac:dyDescent="0.35">
      <c r="A74" s="28"/>
      <c r="B74" s="14"/>
      <c r="C74" s="14"/>
      <c r="D74" s="14"/>
      <c r="E74" s="14"/>
      <c r="F74" s="34" t="s">
        <v>129</v>
      </c>
      <c r="G74" s="35"/>
      <c r="H74" s="36">
        <v>41.99</v>
      </c>
      <c r="I74" s="28"/>
      <c r="J74" s="63" t="e">
        <f t="shared" si="5"/>
        <v>#DIV/0!</v>
      </c>
      <c r="K74" s="40">
        <f t="shared" si="6"/>
        <v>0</v>
      </c>
      <c r="O74" s="49"/>
      <c r="P74" s="49"/>
    </row>
    <row r="75" spans="1:16" x14ac:dyDescent="0.35">
      <c r="A75" s="28"/>
      <c r="B75" s="14"/>
      <c r="C75" s="14"/>
      <c r="D75" s="14"/>
      <c r="E75" s="14"/>
      <c r="F75" s="34" t="s">
        <v>127</v>
      </c>
      <c r="G75" s="35">
        <v>49.4</v>
      </c>
      <c r="H75" s="36">
        <v>20.99</v>
      </c>
      <c r="I75" s="28"/>
      <c r="J75" s="63">
        <f t="shared" si="5"/>
        <v>0</v>
      </c>
      <c r="K75" s="40">
        <f t="shared" si="6"/>
        <v>0</v>
      </c>
      <c r="O75" s="49"/>
      <c r="P75" s="49"/>
    </row>
    <row r="76" spans="1:16" x14ac:dyDescent="0.35">
      <c r="A76" s="28"/>
      <c r="B76" s="14"/>
      <c r="C76" s="14"/>
      <c r="D76" s="14"/>
      <c r="E76" s="14"/>
      <c r="F76" s="34" t="s">
        <v>70</v>
      </c>
      <c r="G76" s="35">
        <v>50.65</v>
      </c>
      <c r="H76" s="36">
        <v>32.99</v>
      </c>
      <c r="I76" s="28"/>
      <c r="J76" s="63">
        <f t="shared" si="5"/>
        <v>0</v>
      </c>
      <c r="K76" s="40">
        <f t="shared" si="6"/>
        <v>0</v>
      </c>
      <c r="O76" s="49"/>
      <c r="P76" s="49"/>
    </row>
    <row r="77" spans="1:16" x14ac:dyDescent="0.35">
      <c r="A77" s="28"/>
      <c r="B77" s="14"/>
      <c r="C77" s="14"/>
      <c r="D77" s="14"/>
      <c r="E77" s="14"/>
      <c r="F77" s="34" t="s">
        <v>128</v>
      </c>
      <c r="G77" s="35">
        <v>50.45</v>
      </c>
      <c r="H77" s="36">
        <v>24.99</v>
      </c>
      <c r="I77" s="28"/>
      <c r="J77" s="63">
        <f t="shared" si="5"/>
        <v>0</v>
      </c>
      <c r="K77" s="40">
        <f t="shared" si="6"/>
        <v>0</v>
      </c>
      <c r="O77" s="49"/>
      <c r="P77" s="49"/>
    </row>
    <row r="78" spans="1:16" x14ac:dyDescent="0.35">
      <c r="A78" s="28"/>
      <c r="B78" s="14"/>
      <c r="C78" s="14"/>
      <c r="D78" s="14"/>
      <c r="E78" s="14"/>
      <c r="F78" s="34" t="s">
        <v>67</v>
      </c>
      <c r="G78" s="35">
        <v>53.7</v>
      </c>
      <c r="H78" s="36">
        <v>27.99</v>
      </c>
      <c r="I78" s="28"/>
      <c r="J78" s="63">
        <f t="shared" si="5"/>
        <v>0</v>
      </c>
      <c r="K78" s="40">
        <f t="shared" si="6"/>
        <v>0</v>
      </c>
      <c r="O78" s="49"/>
      <c r="P78" s="49"/>
    </row>
    <row r="79" spans="1:16" x14ac:dyDescent="0.35">
      <c r="A79" s="28"/>
      <c r="B79" s="14"/>
      <c r="C79" s="14"/>
      <c r="D79" s="14"/>
      <c r="E79" s="14"/>
      <c r="F79" s="34" t="s">
        <v>131</v>
      </c>
      <c r="G79" s="35">
        <v>49.5</v>
      </c>
      <c r="H79" s="36">
        <v>39.99</v>
      </c>
      <c r="I79" s="28"/>
      <c r="J79" s="63">
        <f t="shared" si="5"/>
        <v>0</v>
      </c>
      <c r="K79" s="40">
        <f t="shared" si="6"/>
        <v>0</v>
      </c>
      <c r="O79" s="49"/>
      <c r="P79" s="49"/>
    </row>
    <row r="80" spans="1:16" x14ac:dyDescent="0.35">
      <c r="A80" s="28"/>
      <c r="B80" s="14"/>
      <c r="C80" s="14"/>
      <c r="D80" s="14"/>
      <c r="E80" s="14"/>
      <c r="F80" s="34" t="s">
        <v>161</v>
      </c>
      <c r="G80" s="35">
        <v>59.45</v>
      </c>
      <c r="H80" s="36">
        <v>38.99</v>
      </c>
      <c r="I80" s="28"/>
      <c r="J80" s="63">
        <f t="shared" si="5"/>
        <v>0</v>
      </c>
      <c r="K80" s="40">
        <f t="shared" si="6"/>
        <v>0</v>
      </c>
      <c r="O80" s="49"/>
      <c r="P80" s="49"/>
    </row>
    <row r="81" spans="1:16" x14ac:dyDescent="0.35">
      <c r="A81" s="28"/>
      <c r="B81" s="14"/>
      <c r="C81" s="14"/>
      <c r="D81" s="14"/>
      <c r="E81" s="14"/>
      <c r="F81" s="34" t="s">
        <v>133</v>
      </c>
      <c r="G81" s="35">
        <v>54.55</v>
      </c>
      <c r="H81" s="36"/>
      <c r="I81" s="28"/>
      <c r="J81" s="63">
        <f t="shared" si="5"/>
        <v>0</v>
      </c>
      <c r="K81" s="40">
        <f t="shared" si="6"/>
        <v>0</v>
      </c>
      <c r="O81" s="49"/>
      <c r="P81" s="49"/>
    </row>
    <row r="82" spans="1:16" x14ac:dyDescent="0.35">
      <c r="A82" s="28"/>
      <c r="B82" s="14"/>
      <c r="C82" s="14"/>
      <c r="D82" s="14"/>
      <c r="E82" s="14"/>
      <c r="F82" s="34" t="s">
        <v>185</v>
      </c>
      <c r="G82" s="35">
        <v>41.4</v>
      </c>
      <c r="H82" s="36">
        <v>33.99</v>
      </c>
      <c r="I82" s="28"/>
      <c r="J82" s="63">
        <f t="shared" si="5"/>
        <v>0</v>
      </c>
      <c r="K82" s="40">
        <f t="shared" si="6"/>
        <v>0</v>
      </c>
      <c r="O82" s="49"/>
      <c r="P82" s="49"/>
    </row>
    <row r="83" spans="1:16" x14ac:dyDescent="0.35">
      <c r="A83" s="28"/>
      <c r="B83" s="14"/>
      <c r="C83" s="14"/>
      <c r="D83" s="14"/>
      <c r="E83" s="14"/>
      <c r="F83" s="34" t="s">
        <v>186</v>
      </c>
      <c r="G83" s="35">
        <v>63.45</v>
      </c>
      <c r="H83" s="36">
        <v>36.99</v>
      </c>
      <c r="I83" s="28"/>
      <c r="J83" s="63">
        <f t="shared" si="5"/>
        <v>0</v>
      </c>
      <c r="K83" s="40">
        <f t="shared" si="6"/>
        <v>0</v>
      </c>
      <c r="O83" s="49"/>
      <c r="P83" s="49"/>
    </row>
    <row r="84" spans="1:16" x14ac:dyDescent="0.35">
      <c r="A84" s="28"/>
      <c r="B84" s="14"/>
      <c r="C84" s="14"/>
      <c r="D84" s="14"/>
      <c r="E84" s="14"/>
      <c r="F84" s="34" t="s">
        <v>137</v>
      </c>
      <c r="G84" s="35">
        <v>48.1</v>
      </c>
      <c r="H84" s="36">
        <v>20.99</v>
      </c>
      <c r="I84" s="28"/>
      <c r="J84" s="63">
        <f t="shared" si="5"/>
        <v>0</v>
      </c>
      <c r="K84" s="40">
        <f t="shared" si="6"/>
        <v>0</v>
      </c>
      <c r="O84" s="49"/>
      <c r="P84" s="49"/>
    </row>
    <row r="85" spans="1:16" x14ac:dyDescent="0.35">
      <c r="A85" s="28"/>
      <c r="B85" s="14"/>
      <c r="C85" s="14"/>
      <c r="D85" s="14"/>
      <c r="E85" s="14"/>
      <c r="F85" s="34" t="s">
        <v>132</v>
      </c>
      <c r="G85" s="35">
        <v>50.4</v>
      </c>
      <c r="H85" s="36">
        <v>28.99</v>
      </c>
      <c r="I85" s="28"/>
      <c r="J85" s="63">
        <f t="shared" si="5"/>
        <v>0</v>
      </c>
      <c r="K85" s="40">
        <f t="shared" si="6"/>
        <v>0</v>
      </c>
      <c r="O85" s="49"/>
      <c r="P85" s="49"/>
    </row>
    <row r="86" spans="1:16" x14ac:dyDescent="0.35">
      <c r="A86" s="28"/>
      <c r="B86" s="14"/>
      <c r="C86" s="14"/>
      <c r="D86" s="14"/>
      <c r="E86" s="14"/>
      <c r="F86" s="34" t="s">
        <v>136</v>
      </c>
      <c r="G86" s="35">
        <v>48</v>
      </c>
      <c r="H86" s="36">
        <v>20.99</v>
      </c>
      <c r="I86" s="28"/>
      <c r="J86" s="63">
        <f t="shared" si="5"/>
        <v>0</v>
      </c>
      <c r="K86" s="40">
        <f t="shared" si="6"/>
        <v>0</v>
      </c>
      <c r="O86" s="49"/>
      <c r="P86" s="49"/>
    </row>
    <row r="87" spans="1:16" x14ac:dyDescent="0.35">
      <c r="A87" s="28"/>
      <c r="B87" s="14"/>
      <c r="C87" s="14"/>
      <c r="D87" s="14"/>
      <c r="E87" s="14"/>
      <c r="F87" s="34" t="s">
        <v>222</v>
      </c>
      <c r="G87" s="35"/>
      <c r="H87" s="36"/>
      <c r="I87" s="28"/>
      <c r="J87" s="63" t="e">
        <f t="shared" si="5"/>
        <v>#DIV/0!</v>
      </c>
      <c r="K87" s="40">
        <f t="shared" si="6"/>
        <v>0</v>
      </c>
      <c r="O87" s="49"/>
      <c r="P87" s="49"/>
    </row>
    <row r="88" spans="1:16" x14ac:dyDescent="0.35">
      <c r="A88" s="28"/>
      <c r="B88" s="14"/>
      <c r="C88" s="14"/>
      <c r="D88" s="14"/>
      <c r="E88" s="14"/>
      <c r="F88" s="34" t="s">
        <v>187</v>
      </c>
      <c r="G88" s="35"/>
      <c r="H88" s="36">
        <v>20.99</v>
      </c>
      <c r="I88" s="28"/>
      <c r="J88" s="63" t="e">
        <f t="shared" si="5"/>
        <v>#DIV/0!</v>
      </c>
      <c r="K88" s="40">
        <f t="shared" si="6"/>
        <v>0</v>
      </c>
      <c r="O88" s="49"/>
      <c r="P88" s="49"/>
    </row>
    <row r="89" spans="1:16" x14ac:dyDescent="0.35">
      <c r="A89" s="28"/>
      <c r="B89" s="14"/>
      <c r="C89" s="14"/>
      <c r="D89" s="14"/>
      <c r="E89" s="14"/>
      <c r="F89" s="34" t="s">
        <v>177</v>
      </c>
      <c r="G89" s="35">
        <v>42.75</v>
      </c>
      <c r="H89" s="36">
        <v>22.99</v>
      </c>
      <c r="I89" s="28"/>
      <c r="J89" s="63">
        <f t="shared" si="5"/>
        <v>0</v>
      </c>
      <c r="K89" s="40">
        <f t="shared" si="6"/>
        <v>0</v>
      </c>
      <c r="O89" s="49"/>
      <c r="P89" s="49"/>
    </row>
    <row r="90" spans="1:16" x14ac:dyDescent="0.35">
      <c r="A90" s="28"/>
      <c r="B90" s="14"/>
      <c r="C90" s="14"/>
      <c r="D90" s="14"/>
      <c r="E90" s="14"/>
      <c r="F90" s="34" t="s">
        <v>189</v>
      </c>
      <c r="G90" s="35">
        <v>42.35</v>
      </c>
      <c r="H90" s="36">
        <v>21.99</v>
      </c>
      <c r="I90" s="28"/>
      <c r="J90" s="63">
        <f t="shared" si="5"/>
        <v>0</v>
      </c>
      <c r="K90" s="40">
        <f t="shared" si="6"/>
        <v>0</v>
      </c>
      <c r="O90" s="49"/>
      <c r="P90" s="49"/>
    </row>
    <row r="91" spans="1:16" x14ac:dyDescent="0.35">
      <c r="A91" s="28"/>
      <c r="B91" s="14"/>
      <c r="C91" s="14"/>
      <c r="D91" s="14"/>
      <c r="E91" s="14"/>
      <c r="F91" s="34" t="s">
        <v>190</v>
      </c>
      <c r="G91" s="35">
        <v>41.15</v>
      </c>
      <c r="H91" s="36">
        <v>21.99</v>
      </c>
      <c r="I91" s="28"/>
      <c r="J91" s="63">
        <f t="shared" si="5"/>
        <v>0</v>
      </c>
      <c r="K91" s="40">
        <f t="shared" ref="K91:K96" si="7">(SUM(A91:E91))-I91</f>
        <v>0</v>
      </c>
      <c r="O91" s="49"/>
      <c r="P91" s="49"/>
    </row>
    <row r="92" spans="1:16" x14ac:dyDescent="0.35">
      <c r="A92" s="28"/>
      <c r="B92" s="14"/>
      <c r="C92" s="14"/>
      <c r="D92" s="14"/>
      <c r="E92" s="14"/>
      <c r="F92" s="34" t="s">
        <v>191</v>
      </c>
      <c r="G92" s="35">
        <v>42.75</v>
      </c>
      <c r="H92" s="36">
        <v>21.99</v>
      </c>
      <c r="I92" s="28"/>
      <c r="J92" s="63">
        <f t="shared" si="5"/>
        <v>0</v>
      </c>
      <c r="K92" s="40">
        <f t="shared" si="7"/>
        <v>0</v>
      </c>
      <c r="O92" s="49"/>
      <c r="P92" s="49"/>
    </row>
    <row r="93" spans="1:16" x14ac:dyDescent="0.35">
      <c r="A93" s="28"/>
      <c r="B93" s="14"/>
      <c r="C93" s="14"/>
      <c r="D93" s="14"/>
      <c r="E93" s="14"/>
      <c r="F93" s="34" t="s">
        <v>192</v>
      </c>
      <c r="G93" s="35">
        <v>43.55</v>
      </c>
      <c r="H93" s="36">
        <v>33.99</v>
      </c>
      <c r="I93" s="28"/>
      <c r="J93" s="63">
        <f t="shared" si="5"/>
        <v>0</v>
      </c>
      <c r="K93" s="40">
        <f t="shared" si="7"/>
        <v>0</v>
      </c>
      <c r="O93" s="49"/>
      <c r="P93" s="49"/>
    </row>
    <row r="94" spans="1:16" x14ac:dyDescent="0.35">
      <c r="A94" s="28"/>
      <c r="B94" s="14"/>
      <c r="C94" s="14"/>
      <c r="D94" s="14"/>
      <c r="E94" s="14"/>
      <c r="F94" s="34" t="s">
        <v>193</v>
      </c>
      <c r="G94" s="35">
        <v>44.15</v>
      </c>
      <c r="H94" s="36">
        <v>34.99</v>
      </c>
      <c r="I94" s="28"/>
      <c r="J94" s="63">
        <f t="shared" si="5"/>
        <v>0</v>
      </c>
      <c r="K94" s="40">
        <f t="shared" si="7"/>
        <v>0</v>
      </c>
      <c r="O94" s="49"/>
      <c r="P94" s="49"/>
    </row>
    <row r="95" spans="1:16" x14ac:dyDescent="0.35">
      <c r="A95" s="28"/>
      <c r="B95" s="14"/>
      <c r="C95" s="14"/>
      <c r="D95" s="14"/>
      <c r="E95" s="14"/>
      <c r="F95" s="34" t="s">
        <v>195</v>
      </c>
      <c r="G95" s="35">
        <v>48.1</v>
      </c>
      <c r="H95" s="36">
        <v>29.99</v>
      </c>
      <c r="I95" s="28"/>
      <c r="J95" s="63">
        <f t="shared" si="5"/>
        <v>0</v>
      </c>
      <c r="K95" s="40">
        <f t="shared" si="7"/>
        <v>0</v>
      </c>
      <c r="O95" s="49"/>
      <c r="P95" s="49"/>
    </row>
    <row r="96" spans="1:16" x14ac:dyDescent="0.35">
      <c r="A96" s="28"/>
      <c r="B96" s="14"/>
      <c r="C96" s="14"/>
      <c r="D96" s="14"/>
      <c r="E96" s="14"/>
      <c r="F96" s="34" t="s">
        <v>194</v>
      </c>
      <c r="G96" s="35">
        <v>42.8</v>
      </c>
      <c r="H96" s="36">
        <v>25.99</v>
      </c>
      <c r="I96" s="28"/>
      <c r="J96" s="63">
        <f t="shared" si="5"/>
        <v>0</v>
      </c>
      <c r="K96" s="40">
        <f t="shared" si="7"/>
        <v>0</v>
      </c>
      <c r="O96" s="49"/>
      <c r="P96" s="49"/>
    </row>
    <row r="97" spans="1:16" ht="15" thickBot="1" x14ac:dyDescent="0.4">
      <c r="A97" s="28"/>
      <c r="B97" s="14"/>
      <c r="C97" s="14"/>
      <c r="D97" s="14"/>
      <c r="E97" s="14"/>
      <c r="F97" s="34" t="s">
        <v>188</v>
      </c>
      <c r="G97" s="35">
        <v>53.9</v>
      </c>
      <c r="H97" s="36">
        <v>33.99</v>
      </c>
      <c r="I97" s="28"/>
      <c r="J97" s="63">
        <f t="shared" si="5"/>
        <v>0</v>
      </c>
      <c r="K97" s="40">
        <f t="shared" si="6"/>
        <v>0</v>
      </c>
      <c r="O97" s="49"/>
      <c r="P97" s="49"/>
    </row>
    <row r="98" spans="1:16" ht="17.25" customHeight="1" thickBot="1" x14ac:dyDescent="0.6">
      <c r="A98" s="84" t="s">
        <v>9</v>
      </c>
      <c r="B98" s="85"/>
      <c r="C98" s="85"/>
      <c r="D98" s="85"/>
      <c r="E98" s="85"/>
      <c r="F98" s="85"/>
      <c r="G98" s="85"/>
      <c r="H98" s="85"/>
      <c r="I98" s="86"/>
      <c r="J98" s="87"/>
      <c r="K98" s="88"/>
      <c r="O98" s="49"/>
      <c r="P98" s="49"/>
    </row>
    <row r="99" spans="1:16" ht="24" thickBot="1" x14ac:dyDescent="0.6">
      <c r="A99" s="84" t="s">
        <v>139</v>
      </c>
      <c r="B99" s="85"/>
      <c r="C99" s="85"/>
      <c r="D99" s="85"/>
      <c r="E99" s="85"/>
      <c r="F99" s="85"/>
      <c r="G99" s="85"/>
      <c r="H99" s="85"/>
      <c r="I99" s="86"/>
      <c r="J99" s="89">
        <v>0</v>
      </c>
      <c r="K99" s="90"/>
    </row>
    <row r="100" spans="1:16" ht="24" thickBot="1" x14ac:dyDescent="0.6">
      <c r="A100" s="84" t="s">
        <v>55</v>
      </c>
      <c r="B100" s="85"/>
      <c r="C100" s="85"/>
      <c r="D100" s="85"/>
      <c r="E100" s="85"/>
      <c r="F100" s="85"/>
      <c r="G100" s="85"/>
      <c r="H100" s="85"/>
      <c r="I100" s="86"/>
      <c r="J100" s="89">
        <v>0</v>
      </c>
      <c r="K100" s="90"/>
    </row>
    <row r="101" spans="1:16" ht="24" thickBot="1" x14ac:dyDescent="0.6">
      <c r="A101" s="84" t="s">
        <v>11</v>
      </c>
      <c r="B101" s="85"/>
      <c r="C101" s="85"/>
      <c r="D101" s="85"/>
      <c r="E101" s="85"/>
      <c r="F101" s="85"/>
      <c r="G101" s="85"/>
      <c r="H101" s="85"/>
      <c r="I101" s="86"/>
      <c r="J101" s="87" t="e">
        <f>SUM(J66:J97)</f>
        <v>#DIV/0!</v>
      </c>
      <c r="K101" s="88"/>
    </row>
    <row r="102" spans="1:16" ht="24" thickBot="1" x14ac:dyDescent="0.6">
      <c r="A102" s="84" t="s">
        <v>140</v>
      </c>
      <c r="B102" s="85"/>
      <c r="C102" s="85"/>
      <c r="D102" s="85"/>
      <c r="E102" s="85"/>
      <c r="F102" s="85"/>
      <c r="G102" s="85"/>
      <c r="H102" s="85"/>
      <c r="I102" s="86"/>
      <c r="J102" s="89">
        <v>1739.25</v>
      </c>
      <c r="K102" s="90"/>
      <c r="O102" s="49"/>
      <c r="P102" s="49"/>
    </row>
    <row r="103" spans="1:16" ht="24" thickBot="1" x14ac:dyDescent="0.6">
      <c r="A103" s="84" t="s">
        <v>141</v>
      </c>
      <c r="B103" s="85"/>
      <c r="C103" s="85"/>
      <c r="D103" s="85"/>
      <c r="E103" s="85"/>
      <c r="F103" s="85"/>
      <c r="G103" s="85"/>
      <c r="H103" s="85"/>
      <c r="I103" s="86"/>
      <c r="J103" s="87" t="e">
        <f>J98+J99+J100-J101</f>
        <v>#DIV/0!</v>
      </c>
      <c r="K103" s="88"/>
      <c r="O103" s="49"/>
      <c r="P103" s="49"/>
    </row>
    <row r="104" spans="1:16" ht="24" thickBot="1" x14ac:dyDescent="0.6">
      <c r="A104" s="109" t="s">
        <v>142</v>
      </c>
      <c r="B104" s="110"/>
      <c r="C104" s="110"/>
      <c r="D104" s="110"/>
      <c r="E104" s="110"/>
      <c r="F104" s="110"/>
      <c r="G104" s="110"/>
      <c r="H104" s="110"/>
      <c r="I104" s="111"/>
      <c r="J104" s="112" t="e">
        <f>J103/J102</f>
        <v>#DIV/0!</v>
      </c>
      <c r="K104" s="113"/>
      <c r="O104" s="49"/>
      <c r="P104" s="49"/>
    </row>
    <row r="105" spans="1:16" ht="24" thickBot="1" x14ac:dyDescent="0.6">
      <c r="A105" s="109" t="s">
        <v>56</v>
      </c>
      <c r="B105" s="110"/>
      <c r="C105" s="110"/>
      <c r="D105" s="110"/>
      <c r="E105" s="110"/>
      <c r="F105" s="110"/>
      <c r="G105" s="110"/>
      <c r="H105" s="110"/>
      <c r="I105" s="111"/>
      <c r="J105" s="112" t="e">
        <f>((G187+G188+G190-J101)/G189)</f>
        <v>#REF!</v>
      </c>
      <c r="K105" s="113"/>
      <c r="O105" s="49"/>
      <c r="P105" s="49"/>
    </row>
    <row r="106" spans="1:16" ht="15" thickBot="1" x14ac:dyDescent="0.4">
      <c r="A106" s="62"/>
      <c r="B106" s="15"/>
      <c r="C106" s="15"/>
      <c r="D106" s="15"/>
      <c r="E106" s="15"/>
      <c r="F106" s="34"/>
      <c r="G106" s="35" t="e">
        <f>#REF!</f>
        <v>#REF!</v>
      </c>
      <c r="H106" s="36"/>
      <c r="I106" s="28"/>
      <c r="J106" s="39">
        <f t="shared" ref="J106" si="8">I106*H106</f>
        <v>0</v>
      </c>
      <c r="K106" s="40">
        <f t="shared" ref="K106" si="9">(SUM(A106:E106))-I106</f>
        <v>0</v>
      </c>
      <c r="O106" s="49"/>
      <c r="P106" s="49"/>
    </row>
    <row r="107" spans="1:16" x14ac:dyDescent="0.35">
      <c r="A107" s="145" t="s">
        <v>0</v>
      </c>
      <c r="B107" s="147" t="s">
        <v>1</v>
      </c>
      <c r="C107" s="148"/>
      <c r="D107" s="148"/>
      <c r="E107" s="149"/>
      <c r="F107" s="102" t="s">
        <v>2</v>
      </c>
      <c r="G107" s="102" t="s">
        <v>3</v>
      </c>
      <c r="H107" s="102" t="s">
        <v>4</v>
      </c>
      <c r="I107" s="102" t="s">
        <v>5</v>
      </c>
      <c r="J107" s="102" t="s">
        <v>6</v>
      </c>
      <c r="K107" s="104" t="s">
        <v>7</v>
      </c>
      <c r="O107" s="49"/>
      <c r="P107" s="49"/>
    </row>
    <row r="108" spans="1:16" x14ac:dyDescent="0.35">
      <c r="A108" s="146"/>
      <c r="B108" s="27">
        <v>1</v>
      </c>
      <c r="C108" s="27">
        <v>2</v>
      </c>
      <c r="D108" s="27">
        <v>3</v>
      </c>
      <c r="E108" s="27">
        <v>4</v>
      </c>
      <c r="F108" s="103"/>
      <c r="G108" s="103"/>
      <c r="H108" s="103"/>
      <c r="I108" s="103"/>
      <c r="J108" s="103"/>
      <c r="K108" s="105"/>
      <c r="O108" s="49"/>
      <c r="P108" s="49"/>
    </row>
    <row r="109" spans="1:16" ht="23.5" x14ac:dyDescent="0.55000000000000004">
      <c r="A109" s="106" t="s">
        <v>15</v>
      </c>
      <c r="B109" s="107"/>
      <c r="C109" s="107"/>
      <c r="D109" s="107"/>
      <c r="E109" s="107"/>
      <c r="F109" s="107"/>
      <c r="G109" s="107"/>
      <c r="H109" s="107"/>
      <c r="I109" s="107"/>
      <c r="J109" s="107"/>
      <c r="K109" s="108"/>
      <c r="O109" s="49"/>
      <c r="P109" s="49"/>
    </row>
    <row r="110" spans="1:16" x14ac:dyDescent="0.35">
      <c r="A110" s="28"/>
      <c r="B110" s="14"/>
      <c r="C110" s="14"/>
      <c r="D110" s="14"/>
      <c r="E110" s="14"/>
      <c r="F110" s="34" t="s">
        <v>104</v>
      </c>
      <c r="G110" s="35" t="e">
        <f>#REF!</f>
        <v>#REF!</v>
      </c>
      <c r="H110" s="36">
        <v>2.06</v>
      </c>
      <c r="I110" s="28"/>
      <c r="J110" s="39">
        <f>I110*H110</f>
        <v>0</v>
      </c>
      <c r="K110" s="40">
        <f>(SUM(A110:E110))-I110</f>
        <v>0</v>
      </c>
      <c r="O110" s="49"/>
      <c r="P110" s="49"/>
    </row>
    <row r="111" spans="1:16" x14ac:dyDescent="0.35">
      <c r="A111" s="17"/>
      <c r="B111" s="15"/>
      <c r="C111" s="15"/>
      <c r="D111" s="15"/>
      <c r="E111" s="15"/>
      <c r="F111" s="34" t="s">
        <v>103</v>
      </c>
      <c r="G111" s="35" t="e">
        <f>#REF!</f>
        <v>#REF!</v>
      </c>
      <c r="H111" s="36">
        <v>2.06</v>
      </c>
      <c r="I111" s="17"/>
      <c r="J111" s="39">
        <f t="shared" ref="J111:J125" si="10">I111*H111</f>
        <v>0</v>
      </c>
      <c r="K111" s="40">
        <f t="shared" ref="K111:K125" si="11">(SUM(A111:E111))-I111</f>
        <v>0</v>
      </c>
      <c r="O111" s="49"/>
      <c r="P111" s="49"/>
    </row>
    <row r="112" spans="1:16" x14ac:dyDescent="0.35">
      <c r="A112" s="17"/>
      <c r="B112" s="15"/>
      <c r="C112" s="15"/>
      <c r="D112" s="15"/>
      <c r="E112" s="15"/>
      <c r="F112" s="34" t="s">
        <v>100</v>
      </c>
      <c r="G112" s="35" t="e">
        <f>#REF!</f>
        <v>#REF!</v>
      </c>
      <c r="H112" s="36">
        <v>1.82</v>
      </c>
      <c r="I112" s="17"/>
      <c r="J112" s="39">
        <f t="shared" si="10"/>
        <v>0</v>
      </c>
      <c r="K112" s="40">
        <f t="shared" si="11"/>
        <v>0</v>
      </c>
      <c r="O112" s="49"/>
      <c r="P112" s="49"/>
    </row>
    <row r="113" spans="1:16" x14ac:dyDescent="0.35">
      <c r="A113" s="17"/>
      <c r="B113" s="15"/>
      <c r="C113" s="15"/>
      <c r="D113" s="15"/>
      <c r="E113" s="15"/>
      <c r="F113" s="34" t="s">
        <v>106</v>
      </c>
      <c r="G113" s="35" t="e">
        <f>#REF!</f>
        <v>#REF!</v>
      </c>
      <c r="H113" s="36">
        <v>2.5</v>
      </c>
      <c r="I113" s="17"/>
      <c r="J113" s="39">
        <f t="shared" si="10"/>
        <v>0</v>
      </c>
      <c r="K113" s="40">
        <f t="shared" si="11"/>
        <v>0</v>
      </c>
      <c r="O113" s="49"/>
      <c r="P113" s="49"/>
    </row>
    <row r="114" spans="1:16" x14ac:dyDescent="0.35">
      <c r="A114" s="17"/>
      <c r="B114" s="15"/>
      <c r="C114" s="15"/>
      <c r="D114" s="15"/>
      <c r="E114" s="15"/>
      <c r="F114" s="34" t="s">
        <v>175</v>
      </c>
      <c r="G114" s="35">
        <v>1</v>
      </c>
      <c r="H114" s="36">
        <v>2</v>
      </c>
      <c r="I114" s="17"/>
      <c r="J114" s="39">
        <f t="shared" si="10"/>
        <v>0</v>
      </c>
      <c r="K114" s="40">
        <f t="shared" si="11"/>
        <v>0</v>
      </c>
      <c r="O114" s="49"/>
      <c r="P114" s="49"/>
    </row>
    <row r="115" spans="1:16" x14ac:dyDescent="0.35">
      <c r="A115" s="17"/>
      <c r="B115" s="15"/>
      <c r="C115" s="15"/>
      <c r="D115" s="15"/>
      <c r="E115" s="15"/>
      <c r="F115" s="34" t="s">
        <v>16</v>
      </c>
      <c r="G115" s="35" t="e">
        <f>#REF!</f>
        <v>#REF!</v>
      </c>
      <c r="H115" s="36">
        <v>2.2000000000000002</v>
      </c>
      <c r="I115" s="17"/>
      <c r="J115" s="39">
        <f t="shared" si="10"/>
        <v>0</v>
      </c>
      <c r="K115" s="40">
        <f t="shared" si="11"/>
        <v>0</v>
      </c>
      <c r="O115" s="49"/>
      <c r="P115" s="49"/>
    </row>
    <row r="116" spans="1:16" x14ac:dyDescent="0.35">
      <c r="A116" s="17"/>
      <c r="B116" s="15"/>
      <c r="C116" s="15"/>
      <c r="D116" s="15"/>
      <c r="E116" s="15"/>
      <c r="F116" s="34" t="s">
        <v>17</v>
      </c>
      <c r="G116" s="35" t="e">
        <f>#REF!</f>
        <v>#REF!</v>
      </c>
      <c r="H116" s="36">
        <v>3</v>
      </c>
      <c r="I116" s="17"/>
      <c r="J116" s="39">
        <f t="shared" si="10"/>
        <v>0</v>
      </c>
      <c r="K116" s="40">
        <f t="shared" si="11"/>
        <v>0</v>
      </c>
      <c r="O116" s="49"/>
      <c r="P116" s="49"/>
    </row>
    <row r="117" spans="1:16" x14ac:dyDescent="0.35">
      <c r="A117" s="17"/>
      <c r="B117" s="15"/>
      <c r="C117" s="15"/>
      <c r="D117" s="15"/>
      <c r="E117" s="15"/>
      <c r="F117" s="34" t="s">
        <v>105</v>
      </c>
      <c r="G117" s="35" t="e">
        <f>#REF!</f>
        <v>#REF!</v>
      </c>
      <c r="H117" s="36">
        <v>2.14</v>
      </c>
      <c r="I117" s="17"/>
      <c r="J117" s="39">
        <f t="shared" si="10"/>
        <v>0</v>
      </c>
      <c r="K117" s="40">
        <f t="shared" si="11"/>
        <v>0</v>
      </c>
      <c r="O117" s="49"/>
      <c r="P117" s="49"/>
    </row>
    <row r="118" spans="1:16" x14ac:dyDescent="0.35">
      <c r="A118" s="31"/>
      <c r="B118" s="15"/>
      <c r="C118" s="15"/>
      <c r="D118" s="15"/>
      <c r="E118" s="15"/>
      <c r="F118" s="34" t="s">
        <v>102</v>
      </c>
      <c r="G118" s="35" t="e">
        <f>#REF!</f>
        <v>#REF!</v>
      </c>
      <c r="H118" s="36">
        <v>2.06</v>
      </c>
      <c r="I118" s="31"/>
      <c r="J118" s="39">
        <f t="shared" si="10"/>
        <v>0</v>
      </c>
      <c r="K118" s="40">
        <f t="shared" si="11"/>
        <v>0</v>
      </c>
      <c r="O118" s="49"/>
      <c r="P118" s="49"/>
    </row>
    <row r="119" spans="1:16" x14ac:dyDescent="0.35">
      <c r="A119" s="17"/>
      <c r="B119" s="15"/>
      <c r="C119" s="15"/>
      <c r="D119" s="15"/>
      <c r="E119" s="15"/>
      <c r="F119" s="34" t="s">
        <v>44</v>
      </c>
      <c r="G119" s="35" t="e">
        <f>#REF!</f>
        <v>#REF!</v>
      </c>
      <c r="H119" s="36">
        <v>2.08</v>
      </c>
      <c r="I119" s="17"/>
      <c r="J119" s="39">
        <f t="shared" si="10"/>
        <v>0</v>
      </c>
      <c r="K119" s="40">
        <f t="shared" si="11"/>
        <v>0</v>
      </c>
      <c r="O119" s="49"/>
      <c r="P119" s="49"/>
    </row>
    <row r="120" spans="1:16" x14ac:dyDescent="0.35">
      <c r="A120" s="17"/>
      <c r="B120" s="15"/>
      <c r="C120" s="15"/>
      <c r="D120" s="15"/>
      <c r="E120" s="15"/>
      <c r="F120" s="34" t="s">
        <v>107</v>
      </c>
      <c r="G120" s="35" t="e">
        <f>#REF!</f>
        <v>#REF!</v>
      </c>
      <c r="H120" s="36">
        <v>2.33</v>
      </c>
      <c r="I120" s="17"/>
      <c r="J120" s="39">
        <f t="shared" si="10"/>
        <v>0</v>
      </c>
      <c r="K120" s="40">
        <f t="shared" si="11"/>
        <v>0</v>
      </c>
      <c r="O120" s="49"/>
      <c r="P120" s="49"/>
    </row>
    <row r="121" spans="1:16" x14ac:dyDescent="0.35">
      <c r="A121" s="17"/>
      <c r="B121" s="15"/>
      <c r="C121" s="15"/>
      <c r="D121" s="15"/>
      <c r="E121" s="15"/>
      <c r="F121" s="34" t="s">
        <v>101</v>
      </c>
      <c r="G121" s="35" t="e">
        <f>#REF!</f>
        <v>#REF!</v>
      </c>
      <c r="H121" s="36">
        <v>1.82</v>
      </c>
      <c r="I121" s="17"/>
      <c r="J121" s="39">
        <f t="shared" si="10"/>
        <v>0</v>
      </c>
      <c r="K121" s="40">
        <f t="shared" si="11"/>
        <v>0</v>
      </c>
      <c r="O121" s="49"/>
      <c r="P121" s="49"/>
    </row>
    <row r="122" spans="1:16" x14ac:dyDescent="0.35">
      <c r="A122" s="17"/>
      <c r="B122" s="15"/>
      <c r="C122" s="15"/>
      <c r="D122" s="15"/>
      <c r="E122" s="15"/>
      <c r="F122" s="34" t="s">
        <v>108</v>
      </c>
      <c r="G122" s="35" t="e">
        <f>#REF!</f>
        <v>#REF!</v>
      </c>
      <c r="H122" s="36">
        <v>1.5</v>
      </c>
      <c r="I122" s="17"/>
      <c r="J122" s="39">
        <f t="shared" si="10"/>
        <v>0</v>
      </c>
      <c r="K122" s="40">
        <f t="shared" si="11"/>
        <v>0</v>
      </c>
      <c r="O122" s="49"/>
      <c r="P122" s="49"/>
    </row>
    <row r="123" spans="1:16" x14ac:dyDescent="0.35">
      <c r="A123" s="17"/>
      <c r="B123" s="15"/>
      <c r="C123" s="15"/>
      <c r="D123" s="15"/>
      <c r="E123" s="15"/>
      <c r="F123" s="34" t="s">
        <v>18</v>
      </c>
      <c r="G123" s="35" t="e">
        <f>#REF!</f>
        <v>#REF!</v>
      </c>
      <c r="H123" s="36">
        <v>2.1</v>
      </c>
      <c r="I123" s="17"/>
      <c r="J123" s="39">
        <f t="shared" si="10"/>
        <v>0</v>
      </c>
      <c r="K123" s="40">
        <f t="shared" si="11"/>
        <v>0</v>
      </c>
      <c r="O123" s="49"/>
      <c r="P123" s="49"/>
    </row>
    <row r="124" spans="1:16" x14ac:dyDescent="0.35">
      <c r="A124" s="17"/>
      <c r="B124" s="15"/>
      <c r="C124" s="15"/>
      <c r="D124" s="15"/>
      <c r="E124" s="15"/>
      <c r="F124" s="34" t="s">
        <v>99</v>
      </c>
      <c r="G124" s="35" t="e">
        <f>#REF!</f>
        <v>#REF!</v>
      </c>
      <c r="H124" s="36">
        <v>2.41</v>
      </c>
      <c r="I124" s="17"/>
      <c r="J124" s="39">
        <f t="shared" si="10"/>
        <v>0</v>
      </c>
      <c r="K124" s="40">
        <f t="shared" si="11"/>
        <v>0</v>
      </c>
      <c r="O124" s="49"/>
      <c r="P124" s="49"/>
    </row>
    <row r="125" spans="1:16" ht="20.149999999999999" customHeight="1" x14ac:dyDescent="0.35">
      <c r="A125" s="17"/>
      <c r="B125" s="15"/>
      <c r="C125" s="15"/>
      <c r="D125" s="15"/>
      <c r="E125" s="15"/>
      <c r="F125" s="34" t="s">
        <v>19</v>
      </c>
      <c r="G125" s="35" t="e">
        <f>#REF!</f>
        <v>#REF!</v>
      </c>
      <c r="H125" s="36">
        <v>2.5499999999999998</v>
      </c>
      <c r="I125" s="17"/>
      <c r="J125" s="39">
        <f t="shared" si="10"/>
        <v>0</v>
      </c>
      <c r="K125" s="40">
        <f t="shared" si="11"/>
        <v>0</v>
      </c>
    </row>
    <row r="126" spans="1:16" ht="20.149999999999999" customHeight="1" x14ac:dyDescent="0.35">
      <c r="A126" s="91" t="s">
        <v>117</v>
      </c>
      <c r="B126" s="92"/>
      <c r="C126" s="92"/>
      <c r="D126" s="92"/>
      <c r="E126" s="92"/>
      <c r="F126" s="92"/>
      <c r="G126" s="92"/>
      <c r="H126" s="92"/>
      <c r="I126" s="92"/>
      <c r="J126" s="92"/>
      <c r="K126" s="93"/>
    </row>
    <row r="127" spans="1:16" ht="20.149999999999999" customHeight="1" x14ac:dyDescent="0.35">
      <c r="A127" s="62"/>
      <c r="B127" s="15"/>
      <c r="C127" s="15"/>
      <c r="D127" s="15"/>
      <c r="E127" s="15"/>
      <c r="F127" s="34" t="s">
        <v>116</v>
      </c>
      <c r="G127" s="35" t="e">
        <f>#REF!</f>
        <v>#REF!</v>
      </c>
      <c r="H127" s="36">
        <v>2.7</v>
      </c>
      <c r="I127" s="17"/>
      <c r="J127" s="39">
        <f t="shared" ref="J127:J132" si="12">I127*H127</f>
        <v>0</v>
      </c>
      <c r="K127" s="40">
        <f t="shared" ref="K127:K135" si="13">(SUM(A127:E127))-I127</f>
        <v>0</v>
      </c>
    </row>
    <row r="128" spans="1:16" ht="20.149999999999999" customHeight="1" x14ac:dyDescent="0.35">
      <c r="A128" s="62"/>
      <c r="B128" s="15"/>
      <c r="C128" s="15"/>
      <c r="D128" s="15"/>
      <c r="E128" s="15"/>
      <c r="F128" s="34" t="s">
        <v>115</v>
      </c>
      <c r="G128" s="35" t="e">
        <f>#REF!</f>
        <v>#REF!</v>
      </c>
      <c r="H128" s="36">
        <v>3.12</v>
      </c>
      <c r="I128" s="17"/>
      <c r="J128" s="39">
        <f t="shared" si="12"/>
        <v>0</v>
      </c>
      <c r="K128" s="40">
        <f t="shared" si="13"/>
        <v>0</v>
      </c>
    </row>
    <row r="129" spans="1:11" ht="20.149999999999999" customHeight="1" x14ac:dyDescent="0.35">
      <c r="A129" s="62"/>
      <c r="B129" s="15"/>
      <c r="C129" s="15"/>
      <c r="D129" s="15"/>
      <c r="E129" s="15"/>
      <c r="F129" s="34" t="s">
        <v>114</v>
      </c>
      <c r="G129" s="35" t="e">
        <f>#REF!</f>
        <v>#REF!</v>
      </c>
      <c r="H129" s="36">
        <v>2.4900000000000002</v>
      </c>
      <c r="I129" s="17"/>
      <c r="J129" s="39">
        <f t="shared" si="12"/>
        <v>0</v>
      </c>
      <c r="K129" s="40">
        <f t="shared" si="13"/>
        <v>0</v>
      </c>
    </row>
    <row r="130" spans="1:11" ht="20.149999999999999" customHeight="1" x14ac:dyDescent="0.35">
      <c r="A130" s="62"/>
      <c r="B130" s="15"/>
      <c r="C130" s="15"/>
      <c r="D130" s="15"/>
      <c r="E130" s="15"/>
      <c r="F130" s="34" t="s">
        <v>109</v>
      </c>
      <c r="G130" s="35" t="e">
        <f>#REF!</f>
        <v>#REF!</v>
      </c>
      <c r="H130" s="36">
        <v>2.7</v>
      </c>
      <c r="I130" s="17"/>
      <c r="J130" s="39">
        <f t="shared" si="12"/>
        <v>0</v>
      </c>
      <c r="K130" s="40">
        <f t="shared" si="13"/>
        <v>0</v>
      </c>
    </row>
    <row r="131" spans="1:11" ht="20.149999999999999" customHeight="1" x14ac:dyDescent="0.35">
      <c r="A131" s="62"/>
      <c r="B131" s="15"/>
      <c r="C131" s="15"/>
      <c r="D131" s="15"/>
      <c r="E131" s="15"/>
      <c r="F131" s="34" t="s">
        <v>110</v>
      </c>
      <c r="G131" s="35" t="e">
        <f>#REF!</f>
        <v>#REF!</v>
      </c>
      <c r="H131" s="36">
        <v>2.7</v>
      </c>
      <c r="I131" s="17"/>
      <c r="J131" s="39">
        <f t="shared" si="12"/>
        <v>0</v>
      </c>
      <c r="K131" s="40">
        <f t="shared" si="13"/>
        <v>0</v>
      </c>
    </row>
    <row r="132" spans="1:11" ht="20.149999999999999" customHeight="1" x14ac:dyDescent="0.35">
      <c r="A132" s="62"/>
      <c r="B132" s="15"/>
      <c r="C132" s="15"/>
      <c r="D132" s="15"/>
      <c r="E132" s="15"/>
      <c r="F132" s="34" t="s">
        <v>111</v>
      </c>
      <c r="G132" s="35" t="e">
        <f>#REF!</f>
        <v>#REF!</v>
      </c>
      <c r="H132" s="36">
        <v>2.7</v>
      </c>
      <c r="I132" s="17"/>
      <c r="J132" s="39">
        <f t="shared" si="12"/>
        <v>0</v>
      </c>
      <c r="K132" s="40">
        <f t="shared" si="13"/>
        <v>0</v>
      </c>
    </row>
    <row r="133" spans="1:11" x14ac:dyDescent="0.35">
      <c r="A133" s="62"/>
      <c r="B133" s="15"/>
      <c r="C133" s="15"/>
      <c r="D133" s="15"/>
      <c r="E133" s="15"/>
      <c r="F133" s="34" t="s">
        <v>113</v>
      </c>
      <c r="G133" s="35" t="e">
        <f>#REF!</f>
        <v>#REF!</v>
      </c>
      <c r="H133" s="36">
        <v>2.33</v>
      </c>
      <c r="I133" s="17"/>
      <c r="J133" s="39">
        <v>0</v>
      </c>
      <c r="K133" s="40">
        <f t="shared" si="13"/>
        <v>0</v>
      </c>
    </row>
    <row r="134" spans="1:11" ht="20.149999999999999" customHeight="1" x14ac:dyDescent="0.35">
      <c r="A134" s="62"/>
      <c r="B134" s="15"/>
      <c r="C134" s="15"/>
      <c r="D134" s="15"/>
      <c r="E134" s="15"/>
      <c r="F134" s="34" t="s">
        <v>72</v>
      </c>
      <c r="G134" s="35" t="e">
        <f>#REF!</f>
        <v>#REF!</v>
      </c>
      <c r="H134" s="36">
        <v>3.24</v>
      </c>
      <c r="I134" s="17"/>
      <c r="J134" s="39">
        <f>I134*H134</f>
        <v>0</v>
      </c>
      <c r="K134" s="40">
        <f t="shared" si="13"/>
        <v>0</v>
      </c>
    </row>
    <row r="135" spans="1:11" ht="15" thickBot="1" x14ac:dyDescent="0.4">
      <c r="A135" s="62"/>
      <c r="B135" s="18"/>
      <c r="C135" s="18"/>
      <c r="D135" s="18"/>
      <c r="E135" s="18"/>
      <c r="F135" s="41" t="s">
        <v>112</v>
      </c>
      <c r="G135" s="42" t="e">
        <f>#REF!</f>
        <v>#REF!</v>
      </c>
      <c r="H135" s="43">
        <v>2.41</v>
      </c>
      <c r="I135" s="29"/>
      <c r="J135" s="44">
        <f>I135*H135</f>
        <v>0</v>
      </c>
      <c r="K135" s="45">
        <f t="shared" si="13"/>
        <v>0</v>
      </c>
    </row>
    <row r="136" spans="1:11" ht="15" customHeight="1" thickBot="1" x14ac:dyDescent="0.6">
      <c r="A136" s="84" t="s">
        <v>9</v>
      </c>
      <c r="B136" s="85"/>
      <c r="C136" s="85"/>
      <c r="D136" s="85"/>
      <c r="E136" s="85"/>
      <c r="F136" s="85"/>
      <c r="G136" s="85"/>
      <c r="H136" s="85"/>
      <c r="I136" s="86"/>
      <c r="J136" s="87">
        <v>1757.8899999999999</v>
      </c>
      <c r="K136" s="88"/>
    </row>
    <row r="137" spans="1:11" ht="24" thickBot="1" x14ac:dyDescent="0.6">
      <c r="A137" s="84" t="s">
        <v>21</v>
      </c>
      <c r="B137" s="85"/>
      <c r="C137" s="85"/>
      <c r="D137" s="85"/>
      <c r="E137" s="85"/>
      <c r="F137" s="85"/>
      <c r="G137" s="85"/>
      <c r="H137" s="85"/>
      <c r="I137" s="86"/>
      <c r="J137" s="89">
        <v>0</v>
      </c>
      <c r="K137" s="90"/>
    </row>
    <row r="138" spans="1:11" ht="24" thickBot="1" x14ac:dyDescent="0.6">
      <c r="A138" s="84" t="s">
        <v>55</v>
      </c>
      <c r="B138" s="85"/>
      <c r="C138" s="85"/>
      <c r="D138" s="85"/>
      <c r="E138" s="85"/>
      <c r="F138" s="85"/>
      <c r="G138" s="85"/>
      <c r="H138" s="85"/>
      <c r="I138" s="86"/>
      <c r="J138" s="89">
        <v>0</v>
      </c>
      <c r="K138" s="90"/>
    </row>
    <row r="139" spans="1:11" ht="24" thickBot="1" x14ac:dyDescent="0.6">
      <c r="A139" s="84" t="s">
        <v>11</v>
      </c>
      <c r="B139" s="85"/>
      <c r="C139" s="85"/>
      <c r="D139" s="85"/>
      <c r="E139" s="85"/>
      <c r="F139" s="85"/>
      <c r="G139" s="85"/>
      <c r="H139" s="85"/>
      <c r="I139" s="86"/>
      <c r="J139" s="87">
        <f>SUM(J110:J135)</f>
        <v>0</v>
      </c>
      <c r="K139" s="88"/>
    </row>
    <row r="140" spans="1:11" ht="20.149999999999999" customHeight="1" thickBot="1" x14ac:dyDescent="0.6">
      <c r="A140" s="84" t="s">
        <v>22</v>
      </c>
      <c r="B140" s="85"/>
      <c r="C140" s="85"/>
      <c r="D140" s="85"/>
      <c r="E140" s="85"/>
      <c r="F140" s="85"/>
      <c r="G140" s="85"/>
      <c r="H140" s="85"/>
      <c r="I140" s="86"/>
      <c r="J140" s="89">
        <v>1739.25</v>
      </c>
      <c r="K140" s="90"/>
    </row>
    <row r="141" spans="1:11" ht="20.149999999999999" customHeight="1" thickBot="1" x14ac:dyDescent="0.6">
      <c r="A141" s="84" t="s">
        <v>23</v>
      </c>
      <c r="B141" s="85"/>
      <c r="C141" s="85"/>
      <c r="D141" s="85"/>
      <c r="E141" s="85"/>
      <c r="F141" s="85"/>
      <c r="G141" s="85"/>
      <c r="H141" s="85"/>
      <c r="I141" s="86"/>
      <c r="J141" s="87">
        <f>J136+J137+J138-J139</f>
        <v>1757.8899999999999</v>
      </c>
      <c r="K141" s="88"/>
    </row>
    <row r="142" spans="1:11" ht="20.149999999999999" customHeight="1" thickBot="1" x14ac:dyDescent="0.6">
      <c r="A142" s="109" t="s">
        <v>24</v>
      </c>
      <c r="B142" s="110"/>
      <c r="C142" s="110"/>
      <c r="D142" s="110"/>
      <c r="E142" s="110"/>
      <c r="F142" s="110"/>
      <c r="G142" s="110"/>
      <c r="H142" s="110"/>
      <c r="I142" s="111"/>
      <c r="J142" s="112">
        <f>J141/J140</f>
        <v>1.0107172631881558</v>
      </c>
      <c r="K142" s="113"/>
    </row>
    <row r="143" spans="1:11" ht="20.149999999999999" customHeight="1" thickBot="1" x14ac:dyDescent="0.6">
      <c r="A143" s="109" t="s">
        <v>56</v>
      </c>
      <c r="B143" s="110"/>
      <c r="C143" s="110"/>
      <c r="D143" s="110"/>
      <c r="E143" s="110"/>
      <c r="F143" s="110"/>
      <c r="G143" s="110"/>
      <c r="H143" s="110"/>
      <c r="I143" s="111"/>
      <c r="J143" s="112">
        <f>((G224+G225+G227-J139)/G226)</f>
        <v>1.0107172631881558</v>
      </c>
      <c r="K143" s="113"/>
    </row>
    <row r="144" spans="1:11" ht="20.149999999999999" customHeight="1" x14ac:dyDescent="0.35">
      <c r="A144" s="145" t="s">
        <v>0</v>
      </c>
      <c r="B144" s="147" t="s">
        <v>1</v>
      </c>
      <c r="C144" s="148"/>
      <c r="D144" s="148"/>
      <c r="E144" s="149"/>
      <c r="F144" s="102" t="s">
        <v>2</v>
      </c>
      <c r="G144" s="120" t="s">
        <v>66</v>
      </c>
      <c r="H144" s="102" t="s">
        <v>4</v>
      </c>
      <c r="I144" s="102" t="s">
        <v>5</v>
      </c>
      <c r="J144" s="102" t="s">
        <v>6</v>
      </c>
      <c r="K144" s="104" t="s">
        <v>7</v>
      </c>
    </row>
    <row r="145" spans="1:11" ht="20.149999999999999" customHeight="1" x14ac:dyDescent="0.35">
      <c r="A145" s="146"/>
      <c r="B145" s="27">
        <v>1</v>
      </c>
      <c r="C145" s="27">
        <v>2</v>
      </c>
      <c r="D145" s="27">
        <v>3</v>
      </c>
      <c r="E145" s="27">
        <v>4</v>
      </c>
      <c r="F145" s="103"/>
      <c r="G145" s="121"/>
      <c r="H145" s="103"/>
      <c r="I145" s="103"/>
      <c r="J145" s="103"/>
      <c r="K145" s="105"/>
    </row>
    <row r="146" spans="1:11" ht="20.149999999999999" customHeight="1" x14ac:dyDescent="0.55000000000000004">
      <c r="A146" s="106" t="s">
        <v>61</v>
      </c>
      <c r="B146" s="107"/>
      <c r="C146" s="107"/>
      <c r="D146" s="107"/>
      <c r="E146" s="107"/>
      <c r="F146" s="107"/>
      <c r="G146" s="107"/>
      <c r="H146" s="107"/>
      <c r="I146" s="107"/>
      <c r="J146" s="107"/>
      <c r="K146" s="108"/>
    </row>
    <row r="147" spans="1:11" ht="20.149999999999999" customHeight="1" x14ac:dyDescent="0.35">
      <c r="A147" s="62"/>
      <c r="B147" s="14"/>
      <c r="C147" s="14"/>
      <c r="D147" s="14"/>
      <c r="E147" s="14"/>
      <c r="F147" s="34" t="s">
        <v>121</v>
      </c>
      <c r="G147" s="35" t="e">
        <f>#REF!</f>
        <v>#REF!</v>
      </c>
      <c r="H147" s="36"/>
      <c r="I147" s="28">
        <v>0</v>
      </c>
      <c r="J147" s="39" t="e">
        <f>(I147/G147)*H147</f>
        <v>#REF!</v>
      </c>
      <c r="K147" s="40">
        <f>(SUM(A147:E147))-I147</f>
        <v>0</v>
      </c>
    </row>
    <row r="148" spans="1:11" x14ac:dyDescent="0.35">
      <c r="A148" s="30"/>
      <c r="B148" s="14"/>
      <c r="C148" s="14"/>
      <c r="D148" s="14"/>
      <c r="E148" s="14"/>
      <c r="F148" s="34" t="s">
        <v>116</v>
      </c>
      <c r="G148" s="35">
        <v>179.99</v>
      </c>
      <c r="H148" s="36"/>
      <c r="I148" s="28">
        <v>0</v>
      </c>
      <c r="J148" s="39">
        <f>(I148/G148)*H148</f>
        <v>0</v>
      </c>
      <c r="K148" s="40">
        <f>(SUM(A148:E148))-I148</f>
        <v>0</v>
      </c>
    </row>
    <row r="149" spans="1:11" x14ac:dyDescent="0.35">
      <c r="A149" s="30"/>
      <c r="B149" s="14"/>
      <c r="C149" s="14"/>
      <c r="D149" s="14"/>
      <c r="E149" s="14"/>
      <c r="F149" s="34" t="s">
        <v>20</v>
      </c>
      <c r="G149" s="35" t="e">
        <f>#REF!</f>
        <v>#REF!</v>
      </c>
      <c r="H149" s="36"/>
      <c r="I149" s="28">
        <v>0</v>
      </c>
      <c r="J149" s="39" t="e">
        <f>(I149/G149)*H149</f>
        <v>#REF!</v>
      </c>
      <c r="K149" s="40">
        <f>(SUM(A149:E149))-I149</f>
        <v>0</v>
      </c>
    </row>
    <row r="150" spans="1:11" ht="15" thickBot="1" x14ac:dyDescent="0.4">
      <c r="A150" s="30"/>
      <c r="B150" s="14"/>
      <c r="C150" s="14"/>
      <c r="D150" s="14"/>
      <c r="E150" s="14"/>
      <c r="F150" s="34" t="e">
        <f>#REF!</f>
        <v>#REF!</v>
      </c>
      <c r="G150" s="35" t="e">
        <f>#REF!</f>
        <v>#REF!</v>
      </c>
      <c r="H150" s="36" t="e">
        <f>#REF!</f>
        <v>#REF!</v>
      </c>
      <c r="I150" s="28">
        <v>0</v>
      </c>
      <c r="J150" s="39" t="e">
        <f>(I150/G150)*H150</f>
        <v>#REF!</v>
      </c>
      <c r="K150" s="40">
        <f>(SUM(A150:E150))-I150</f>
        <v>0</v>
      </c>
    </row>
    <row r="151" spans="1:11" ht="15" customHeight="1" thickBot="1" x14ac:dyDescent="0.6">
      <c r="A151" s="84" t="s">
        <v>9</v>
      </c>
      <c r="B151" s="85"/>
      <c r="C151" s="85"/>
      <c r="D151" s="85"/>
      <c r="E151" s="85"/>
      <c r="F151" s="85"/>
      <c r="G151" s="85"/>
      <c r="H151" s="85"/>
      <c r="I151" s="86"/>
      <c r="J151" s="87">
        <v>436.28818840579714</v>
      </c>
      <c r="K151" s="88"/>
    </row>
    <row r="152" spans="1:11" ht="24" thickBot="1" x14ac:dyDescent="0.6">
      <c r="A152" s="84" t="s">
        <v>62</v>
      </c>
      <c r="B152" s="85"/>
      <c r="C152" s="85"/>
      <c r="D152" s="85"/>
      <c r="E152" s="85"/>
      <c r="F152" s="85"/>
      <c r="G152" s="85"/>
      <c r="H152" s="85"/>
      <c r="I152" s="86"/>
      <c r="J152" s="89">
        <v>0</v>
      </c>
      <c r="K152" s="90"/>
    </row>
    <row r="153" spans="1:11" ht="15" customHeight="1" thickBot="1" x14ac:dyDescent="0.6">
      <c r="A153" s="84" t="s">
        <v>55</v>
      </c>
      <c r="B153" s="85"/>
      <c r="C153" s="85"/>
      <c r="D153" s="85"/>
      <c r="E153" s="85"/>
      <c r="F153" s="85"/>
      <c r="G153" s="85"/>
      <c r="H153" s="85"/>
      <c r="I153" s="86"/>
      <c r="J153" s="89">
        <v>0</v>
      </c>
      <c r="K153" s="90"/>
    </row>
    <row r="154" spans="1:11" ht="24" thickBot="1" x14ac:dyDescent="0.6">
      <c r="A154" s="84" t="s">
        <v>11</v>
      </c>
      <c r="B154" s="85"/>
      <c r="C154" s="85"/>
      <c r="D154" s="85"/>
      <c r="E154" s="85"/>
      <c r="F154" s="85"/>
      <c r="G154" s="85"/>
      <c r="H154" s="85"/>
      <c r="I154" s="86"/>
      <c r="J154" s="87" t="e">
        <f>J147+J148+J149</f>
        <v>#REF!</v>
      </c>
      <c r="K154" s="88"/>
    </row>
    <row r="155" spans="1:11" ht="24" thickBot="1" x14ac:dyDescent="0.6">
      <c r="A155" s="84" t="s">
        <v>63</v>
      </c>
      <c r="B155" s="85"/>
      <c r="C155" s="85"/>
      <c r="D155" s="85"/>
      <c r="E155" s="85"/>
      <c r="F155" s="85"/>
      <c r="G155" s="85"/>
      <c r="H155" s="85"/>
      <c r="I155" s="86"/>
      <c r="J155" s="89">
        <v>599.5</v>
      </c>
      <c r="K155" s="90"/>
    </row>
    <row r="156" spans="1:11" ht="24" thickBot="1" x14ac:dyDescent="0.6">
      <c r="A156" s="84" t="s">
        <v>64</v>
      </c>
      <c r="B156" s="85"/>
      <c r="C156" s="85"/>
      <c r="D156" s="85"/>
      <c r="E156" s="85"/>
      <c r="F156" s="85"/>
      <c r="G156" s="85"/>
      <c r="H156" s="85"/>
      <c r="I156" s="86"/>
      <c r="J156" s="87" t="e">
        <f>J151+J152+J153-J154</f>
        <v>#REF!</v>
      </c>
      <c r="K156" s="88"/>
    </row>
    <row r="157" spans="1:11" ht="24" thickBot="1" x14ac:dyDescent="0.6">
      <c r="A157" s="109" t="s">
        <v>65</v>
      </c>
      <c r="B157" s="110"/>
      <c r="C157" s="110"/>
      <c r="D157" s="110"/>
      <c r="E157" s="110"/>
      <c r="F157" s="110"/>
      <c r="G157" s="110"/>
      <c r="H157" s="110"/>
      <c r="I157" s="111"/>
      <c r="J157" s="112" t="e">
        <f>J156/J155</f>
        <v>#REF!</v>
      </c>
      <c r="K157" s="113"/>
    </row>
    <row r="158" spans="1:11" ht="24" thickBot="1" x14ac:dyDescent="0.6">
      <c r="A158" s="109" t="s">
        <v>56</v>
      </c>
      <c r="B158" s="110"/>
      <c r="C158" s="110"/>
      <c r="D158" s="110"/>
      <c r="E158" s="110"/>
      <c r="F158" s="110"/>
      <c r="G158" s="110"/>
      <c r="H158" s="110"/>
      <c r="I158" s="111"/>
      <c r="J158" s="112">
        <f>((G224+G225+G227-J139)/G226)</f>
        <v>1.0107172631881558</v>
      </c>
      <c r="K158" s="113"/>
    </row>
    <row r="159" spans="1:11" x14ac:dyDescent="0.35">
      <c r="A159" s="145" t="s">
        <v>0</v>
      </c>
      <c r="B159" s="147" t="s">
        <v>1</v>
      </c>
      <c r="C159" s="148"/>
      <c r="D159" s="148"/>
      <c r="E159" s="149"/>
      <c r="F159" s="102" t="s">
        <v>2</v>
      </c>
      <c r="G159" s="120" t="s">
        <v>53</v>
      </c>
      <c r="H159" s="102" t="s">
        <v>4</v>
      </c>
      <c r="I159" s="102" t="s">
        <v>5</v>
      </c>
      <c r="J159" s="102" t="s">
        <v>6</v>
      </c>
      <c r="K159" s="104" t="s">
        <v>7</v>
      </c>
    </row>
    <row r="160" spans="1:11" ht="15" thickBot="1" x14ac:dyDescent="0.4">
      <c r="A160" s="158"/>
      <c r="B160" s="27">
        <v>1</v>
      </c>
      <c r="C160" s="27">
        <v>2</v>
      </c>
      <c r="D160" s="27">
        <v>3</v>
      </c>
      <c r="E160" s="27">
        <v>4</v>
      </c>
      <c r="F160" s="150"/>
      <c r="G160" s="159"/>
      <c r="H160" s="150"/>
      <c r="I160" s="150"/>
      <c r="J160" s="150"/>
      <c r="K160" s="151"/>
    </row>
    <row r="161" spans="1:11" ht="24" thickBot="1" x14ac:dyDescent="0.6">
      <c r="A161" s="152" t="s">
        <v>25</v>
      </c>
      <c r="B161" s="153"/>
      <c r="C161" s="153"/>
      <c r="D161" s="153"/>
      <c r="E161" s="153"/>
      <c r="F161" s="153"/>
      <c r="G161" s="153"/>
      <c r="H161" s="153"/>
      <c r="I161" s="153"/>
      <c r="J161" s="153"/>
      <c r="K161" s="154"/>
    </row>
    <row r="162" spans="1:11" x14ac:dyDescent="0.35">
      <c r="A162" s="17"/>
      <c r="B162" s="14"/>
      <c r="C162" s="14"/>
      <c r="D162" s="14"/>
      <c r="E162" s="14"/>
      <c r="F162" s="34" t="s">
        <v>174</v>
      </c>
      <c r="G162" s="35">
        <v>147</v>
      </c>
      <c r="H162" s="36"/>
      <c r="I162" s="28"/>
      <c r="J162" s="37">
        <f>IF(G162=0,0,(I162/G162)*H162)</f>
        <v>0</v>
      </c>
      <c r="K162" s="38">
        <f>IF(G162=0,0,(((SUM(A162:E162)/G162)-(I162/G162))*26))</f>
        <v>0</v>
      </c>
    </row>
    <row r="163" spans="1:11" x14ac:dyDescent="0.35">
      <c r="A163" s="17"/>
      <c r="B163" s="15"/>
      <c r="C163" s="15"/>
      <c r="D163" s="15"/>
      <c r="E163" s="15"/>
      <c r="F163" s="34" t="s">
        <v>197</v>
      </c>
      <c r="G163" s="35" t="e">
        <f>#REF!</f>
        <v>#REF!</v>
      </c>
      <c r="H163" s="36"/>
      <c r="I163" s="17"/>
      <c r="J163" s="37" t="e">
        <f t="shared" ref="J163:J180" si="14">IF(G163=0,0,(I163/G163)*H163)</f>
        <v>#REF!</v>
      </c>
      <c r="K163" s="38" t="e">
        <f>IF(G163=0,0,(((SUM(A163:E163)/G163)-(I163/G163))*52))</f>
        <v>#REF!</v>
      </c>
    </row>
    <row r="164" spans="1:11" x14ac:dyDescent="0.35">
      <c r="A164" s="17"/>
      <c r="B164" s="15"/>
      <c r="C164" s="15"/>
      <c r="D164" s="15"/>
      <c r="E164" s="15"/>
      <c r="F164" s="34" t="s">
        <v>199</v>
      </c>
      <c r="G164" s="35" t="e">
        <f>#REF!</f>
        <v>#REF!</v>
      </c>
      <c r="H164" s="36"/>
      <c r="I164" s="17"/>
      <c r="J164" s="37" t="e">
        <f t="shared" si="14"/>
        <v>#REF!</v>
      </c>
      <c r="K164" s="38" t="e">
        <f t="shared" ref="K164:K170" si="15">IF(G164=0,0,(((SUM(A164:E164)/G164)-(I164/G164))*26))</f>
        <v>#REF!</v>
      </c>
    </row>
    <row r="165" spans="1:11" x14ac:dyDescent="0.35">
      <c r="A165" s="17"/>
      <c r="B165" s="15"/>
      <c r="C165" s="15"/>
      <c r="D165" s="15"/>
      <c r="E165" s="15"/>
      <c r="F165" s="34" t="s">
        <v>201</v>
      </c>
      <c r="G165" s="35" t="e">
        <f>#REF!</f>
        <v>#REF!</v>
      </c>
      <c r="H165" s="36"/>
      <c r="I165" s="17"/>
      <c r="J165" s="37" t="e">
        <f t="shared" si="14"/>
        <v>#REF!</v>
      </c>
      <c r="K165" s="38" t="e">
        <f>IF(G165=0,0,(((SUM(A165:E165)/G165)-(I165/G165))*52))</f>
        <v>#REF!</v>
      </c>
    </row>
    <row r="166" spans="1:11" x14ac:dyDescent="0.35">
      <c r="A166" s="29"/>
      <c r="B166" s="18"/>
      <c r="C166" s="18"/>
      <c r="D166" s="18"/>
      <c r="E166" s="18"/>
      <c r="F166" s="34" t="s">
        <v>202</v>
      </c>
      <c r="G166" s="35" t="e">
        <f>#REF!</f>
        <v>#REF!</v>
      </c>
      <c r="H166" s="36"/>
      <c r="I166" s="29"/>
      <c r="J166" s="37" t="e">
        <f t="shared" si="14"/>
        <v>#REF!</v>
      </c>
      <c r="K166" s="38" t="e">
        <f t="shared" si="15"/>
        <v>#REF!</v>
      </c>
    </row>
    <row r="167" spans="1:11" x14ac:dyDescent="0.35">
      <c r="A167" s="29"/>
      <c r="B167" s="18"/>
      <c r="C167" s="18"/>
      <c r="D167" s="18"/>
      <c r="E167" s="18"/>
      <c r="F167" s="34" t="s">
        <v>198</v>
      </c>
      <c r="G167" s="35" t="e">
        <f>#REF!</f>
        <v>#REF!</v>
      </c>
      <c r="H167" s="36"/>
      <c r="I167" s="29"/>
      <c r="J167" s="37" t="e">
        <f t="shared" si="14"/>
        <v>#REF!</v>
      </c>
      <c r="K167" s="38" t="e">
        <f>IF(G167=0,0,(((SUM(A167:E167)/G167)-(I167/G167))*52))</f>
        <v>#REF!</v>
      </c>
    </row>
    <row r="168" spans="1:11" x14ac:dyDescent="0.35">
      <c r="A168" s="29"/>
      <c r="B168" s="18"/>
      <c r="C168" s="18"/>
      <c r="D168" s="18"/>
      <c r="E168" s="18"/>
      <c r="F168" s="34" t="s">
        <v>200</v>
      </c>
      <c r="G168" s="35" t="e">
        <f>#REF!</f>
        <v>#REF!</v>
      </c>
      <c r="H168" s="36"/>
      <c r="I168" s="29"/>
      <c r="J168" s="37" t="e">
        <f t="shared" si="14"/>
        <v>#REF!</v>
      </c>
      <c r="K168" s="38" t="e">
        <f t="shared" si="15"/>
        <v>#REF!</v>
      </c>
    </row>
    <row r="169" spans="1:11" x14ac:dyDescent="0.35">
      <c r="A169" s="29"/>
      <c r="B169" s="18"/>
      <c r="C169" s="18"/>
      <c r="D169" s="18"/>
      <c r="E169" s="18"/>
      <c r="F169" s="34" t="s">
        <v>206</v>
      </c>
      <c r="G169" s="35" t="e">
        <f>#REF!</f>
        <v>#REF!</v>
      </c>
      <c r="H169" s="36"/>
      <c r="I169" s="29"/>
      <c r="J169" s="37" t="e">
        <f t="shared" si="14"/>
        <v>#REF!</v>
      </c>
      <c r="K169" s="38" t="e">
        <f>IF(G169=0,0,(((SUM(A169:E169)/G169)-(I169/G169))*52))</f>
        <v>#REF!</v>
      </c>
    </row>
    <row r="170" spans="1:11" x14ac:dyDescent="0.35">
      <c r="A170" s="29"/>
      <c r="B170" s="18"/>
      <c r="C170" s="18"/>
      <c r="D170" s="18"/>
      <c r="E170" s="18"/>
      <c r="F170" s="34" t="s">
        <v>207</v>
      </c>
      <c r="G170" s="35" t="e">
        <f>#REF!</f>
        <v>#REF!</v>
      </c>
      <c r="H170" s="36"/>
      <c r="I170" s="29"/>
      <c r="J170" s="37" t="e">
        <f t="shared" si="14"/>
        <v>#REF!</v>
      </c>
      <c r="K170" s="38" t="e">
        <f t="shared" si="15"/>
        <v>#REF!</v>
      </c>
    </row>
    <row r="171" spans="1:11" x14ac:dyDescent="0.35">
      <c r="A171" s="29"/>
      <c r="B171" s="18"/>
      <c r="C171" s="18"/>
      <c r="D171" s="18"/>
      <c r="E171" s="18"/>
      <c r="F171" s="34" t="s">
        <v>211</v>
      </c>
      <c r="G171" s="35"/>
      <c r="H171" s="36"/>
      <c r="I171" s="29"/>
      <c r="J171" s="37">
        <f t="shared" si="14"/>
        <v>0</v>
      </c>
      <c r="K171" s="38">
        <f>IF(G171=0,0,(((SUM(A171:E171)/G171)-(I171/G171))*52))</f>
        <v>0</v>
      </c>
    </row>
    <row r="172" spans="1:11" x14ac:dyDescent="0.35">
      <c r="A172" s="29"/>
      <c r="B172" s="18"/>
      <c r="C172" s="18"/>
      <c r="D172" s="18"/>
      <c r="E172" s="18"/>
      <c r="F172" s="34" t="s">
        <v>212</v>
      </c>
      <c r="G172" s="35">
        <v>40.950000000000003</v>
      </c>
      <c r="H172" s="36"/>
      <c r="I172" s="29"/>
      <c r="J172" s="37">
        <f t="shared" si="14"/>
        <v>0</v>
      </c>
      <c r="K172" s="38">
        <f t="shared" ref="K172:K180" si="16">IF(G172=0,0,(((SUM(A172:E172)/G172)-(I172/G172))*52))</f>
        <v>0</v>
      </c>
    </row>
    <row r="173" spans="1:11" x14ac:dyDescent="0.35">
      <c r="A173" s="29"/>
      <c r="B173" s="18"/>
      <c r="C173" s="18"/>
      <c r="D173" s="18"/>
      <c r="E173" s="18"/>
      <c r="F173" s="34" t="s">
        <v>211</v>
      </c>
      <c r="G173" s="35">
        <v>40.950000000000003</v>
      </c>
      <c r="H173" s="36"/>
      <c r="I173" s="29"/>
      <c r="J173" s="37">
        <f t="shared" si="14"/>
        <v>0</v>
      </c>
      <c r="K173" s="38">
        <f t="shared" si="16"/>
        <v>0</v>
      </c>
    </row>
    <row r="174" spans="1:11" x14ac:dyDescent="0.35">
      <c r="A174" s="29"/>
      <c r="B174" s="18"/>
      <c r="C174" s="18"/>
      <c r="D174" s="18"/>
      <c r="E174" s="18"/>
      <c r="F174" s="34"/>
      <c r="G174" s="35" t="e">
        <f>#REF!</f>
        <v>#REF!</v>
      </c>
      <c r="H174" s="36"/>
      <c r="I174" s="29"/>
      <c r="J174" s="37" t="e">
        <f t="shared" si="14"/>
        <v>#REF!</v>
      </c>
      <c r="K174" s="38" t="e">
        <f t="shared" si="16"/>
        <v>#REF!</v>
      </c>
    </row>
    <row r="175" spans="1:11" ht="24" customHeight="1" x14ac:dyDescent="0.35">
      <c r="A175" s="29"/>
      <c r="B175" s="18"/>
      <c r="C175" s="18"/>
      <c r="D175" s="18"/>
      <c r="E175" s="18"/>
      <c r="F175" s="34" t="e">
        <f>#REF!</f>
        <v>#REF!</v>
      </c>
      <c r="G175" s="35" t="e">
        <f>#REF!</f>
        <v>#REF!</v>
      </c>
      <c r="H175" s="36"/>
      <c r="I175" s="29"/>
      <c r="J175" s="37" t="e">
        <f t="shared" si="14"/>
        <v>#REF!</v>
      </c>
      <c r="K175" s="38" t="e">
        <f t="shared" si="16"/>
        <v>#REF!</v>
      </c>
    </row>
    <row r="176" spans="1:11" ht="19.5" customHeight="1" x14ac:dyDescent="0.35">
      <c r="A176" s="29"/>
      <c r="B176" s="18"/>
      <c r="C176" s="18"/>
      <c r="D176" s="18"/>
      <c r="E176" s="18"/>
      <c r="F176" s="34" t="e">
        <f>#REF!</f>
        <v>#REF!</v>
      </c>
      <c r="G176" s="35" t="e">
        <f>#REF!</f>
        <v>#REF!</v>
      </c>
      <c r="H176" s="36"/>
      <c r="I176" s="29"/>
      <c r="J176" s="37" t="e">
        <f t="shared" si="14"/>
        <v>#REF!</v>
      </c>
      <c r="K176" s="38" t="e">
        <f t="shared" si="16"/>
        <v>#REF!</v>
      </c>
    </row>
    <row r="177" spans="1:11" ht="19.5" customHeight="1" x14ac:dyDescent="0.35">
      <c r="A177" s="29"/>
      <c r="B177" s="18"/>
      <c r="C177" s="18"/>
      <c r="D177" s="18"/>
      <c r="E177" s="18"/>
      <c r="F177" s="34"/>
      <c r="G177" s="35" t="e">
        <f>#REF!</f>
        <v>#REF!</v>
      </c>
      <c r="H177" s="36" t="e">
        <f>#REF!</f>
        <v>#REF!</v>
      </c>
      <c r="I177" s="29"/>
      <c r="J177" s="37" t="e">
        <f t="shared" si="14"/>
        <v>#REF!</v>
      </c>
      <c r="K177" s="38" t="e">
        <f t="shared" si="16"/>
        <v>#REF!</v>
      </c>
    </row>
    <row r="178" spans="1:11" ht="19.5" customHeight="1" x14ac:dyDescent="0.35">
      <c r="A178" s="29"/>
      <c r="B178" s="18"/>
      <c r="C178" s="18"/>
      <c r="D178" s="18"/>
      <c r="E178" s="18"/>
      <c r="F178" s="34"/>
      <c r="G178" s="35" t="e">
        <f>#REF!</f>
        <v>#REF!</v>
      </c>
      <c r="H178" s="36" t="e">
        <f>#REF!</f>
        <v>#REF!</v>
      </c>
      <c r="I178" s="29"/>
      <c r="J178" s="37" t="e">
        <f t="shared" si="14"/>
        <v>#REF!</v>
      </c>
      <c r="K178" s="38" t="e">
        <f t="shared" si="16"/>
        <v>#REF!</v>
      </c>
    </row>
    <row r="179" spans="1:11" ht="19.5" customHeight="1" x14ac:dyDescent="0.35">
      <c r="A179" s="29"/>
      <c r="B179" s="18"/>
      <c r="C179" s="18"/>
      <c r="D179" s="18"/>
      <c r="E179" s="18"/>
      <c r="F179" s="34"/>
      <c r="G179" s="35" t="e">
        <f>#REF!</f>
        <v>#REF!</v>
      </c>
      <c r="H179" s="36" t="e">
        <f>#REF!</f>
        <v>#REF!</v>
      </c>
      <c r="I179" s="29"/>
      <c r="J179" s="37" t="e">
        <f t="shared" si="14"/>
        <v>#REF!</v>
      </c>
      <c r="K179" s="38" t="e">
        <f t="shared" si="16"/>
        <v>#REF!</v>
      </c>
    </row>
    <row r="180" spans="1:11" ht="15" customHeight="1" thickBot="1" x14ac:dyDescent="0.4">
      <c r="A180" s="29"/>
      <c r="B180" s="18"/>
      <c r="C180" s="18"/>
      <c r="D180" s="18"/>
      <c r="E180" s="18"/>
      <c r="F180" s="34"/>
      <c r="G180" s="35" t="e">
        <f>#REF!</f>
        <v>#REF!</v>
      </c>
      <c r="H180" s="36" t="e">
        <f>#REF!</f>
        <v>#REF!</v>
      </c>
      <c r="I180" s="29"/>
      <c r="J180" s="37" t="e">
        <f t="shared" si="14"/>
        <v>#REF!</v>
      </c>
      <c r="K180" s="38" t="e">
        <f t="shared" si="16"/>
        <v>#REF!</v>
      </c>
    </row>
    <row r="181" spans="1:11" ht="15" customHeight="1" thickBot="1" x14ac:dyDescent="0.6">
      <c r="A181" s="155" t="s">
        <v>26</v>
      </c>
      <c r="B181" s="156"/>
      <c r="C181" s="156"/>
      <c r="D181" s="156"/>
      <c r="E181" s="156"/>
      <c r="F181" s="156"/>
      <c r="G181" s="156"/>
      <c r="H181" s="156"/>
      <c r="I181" s="156"/>
      <c r="J181" s="156"/>
      <c r="K181" s="157"/>
    </row>
    <row r="182" spans="1:11" ht="15" customHeight="1" x14ac:dyDescent="0.35">
      <c r="A182" s="24"/>
      <c r="B182" s="52"/>
      <c r="C182" s="52"/>
      <c r="D182" s="52"/>
      <c r="E182" s="52"/>
      <c r="F182" s="66" t="s">
        <v>203</v>
      </c>
      <c r="G182" s="67" t="e">
        <f>#REF!</f>
        <v>#REF!</v>
      </c>
      <c r="H182" s="68"/>
      <c r="I182" s="24"/>
      <c r="J182" s="69" t="e">
        <f>IF(G182=0,0,(I182/G182)*H182)</f>
        <v>#REF!</v>
      </c>
      <c r="K182" s="70" t="e">
        <f>IF(G182=0,0,(((SUM(A182:E182)/G182)-(I182/G182))*26))</f>
        <v>#REF!</v>
      </c>
    </row>
    <row r="183" spans="1:11" ht="15" customHeight="1" x14ac:dyDescent="0.35">
      <c r="A183" s="17"/>
      <c r="B183" s="15"/>
      <c r="C183" s="15"/>
      <c r="D183" s="15"/>
      <c r="E183" s="15"/>
      <c r="F183" s="63" t="s">
        <v>210</v>
      </c>
      <c r="G183" s="64"/>
      <c r="H183" s="65"/>
      <c r="I183" s="17"/>
      <c r="J183" s="39">
        <f t="shared" ref="J183:J198" si="17">IF(G183=0,0,(I183/G183)*H183)</f>
        <v>0</v>
      </c>
      <c r="K183" s="40">
        <f>IF(G183=0,0,(((SUM(A183:E183)/G183)-(I183/G183))*52))</f>
        <v>0</v>
      </c>
    </row>
    <row r="184" spans="1:11" ht="15" customHeight="1" x14ac:dyDescent="0.35">
      <c r="A184" s="17"/>
      <c r="B184" s="15"/>
      <c r="C184" s="15"/>
      <c r="D184" s="15"/>
      <c r="E184" s="15"/>
      <c r="F184" s="63" t="s">
        <v>204</v>
      </c>
      <c r="G184" s="64" t="e">
        <f>#REF!</f>
        <v>#REF!</v>
      </c>
      <c r="H184" s="65"/>
      <c r="I184" s="17"/>
      <c r="J184" s="39" t="e">
        <f t="shared" si="17"/>
        <v>#REF!</v>
      </c>
      <c r="K184" s="40" t="e">
        <f t="shared" ref="K184:K189" si="18">IF(G184=0,0,(((SUM(A184:E184)/G184)-(I184/G184))*26))</f>
        <v>#REF!</v>
      </c>
    </row>
    <row r="185" spans="1:11" ht="15" customHeight="1" x14ac:dyDescent="0.35">
      <c r="A185" s="17"/>
      <c r="B185" s="15"/>
      <c r="C185" s="15"/>
      <c r="D185" s="15"/>
      <c r="E185" s="15"/>
      <c r="F185" s="63" t="s">
        <v>164</v>
      </c>
      <c r="G185" s="64" t="e">
        <f>#REF!</f>
        <v>#REF!</v>
      </c>
      <c r="H185" s="65"/>
      <c r="I185" s="17"/>
      <c r="J185" s="39" t="e">
        <f t="shared" si="17"/>
        <v>#REF!</v>
      </c>
      <c r="K185" s="40" t="e">
        <f>IF(G185=0,0,(((SUM(A185:E185)/G185)-(I185/G185))*52))</f>
        <v>#REF!</v>
      </c>
    </row>
    <row r="186" spans="1:11" ht="15" customHeight="1" x14ac:dyDescent="0.35">
      <c r="A186" s="17"/>
      <c r="B186" s="15"/>
      <c r="C186" s="15"/>
      <c r="D186" s="15"/>
      <c r="E186" s="15"/>
      <c r="F186" s="63" t="s">
        <v>205</v>
      </c>
      <c r="G186" s="64" t="e">
        <f>#REF!</f>
        <v>#REF!</v>
      </c>
      <c r="H186" s="65"/>
      <c r="I186" s="17"/>
      <c r="J186" s="39" t="e">
        <f t="shared" si="17"/>
        <v>#REF!</v>
      </c>
      <c r="K186" s="40" t="e">
        <f>IF(G186=0,0,(((SUM(A186:E186)/G186)-(I186/G186))*52))</f>
        <v>#REF!</v>
      </c>
    </row>
    <row r="187" spans="1:11" ht="15" customHeight="1" x14ac:dyDescent="0.35">
      <c r="A187" s="17"/>
      <c r="B187" s="15"/>
      <c r="C187" s="15"/>
      <c r="D187" s="15"/>
      <c r="E187" s="15"/>
      <c r="F187" s="63" t="s">
        <v>209</v>
      </c>
      <c r="G187" s="64" t="e">
        <f>#REF!</f>
        <v>#REF!</v>
      </c>
      <c r="H187" s="65"/>
      <c r="I187" s="17"/>
      <c r="J187" s="39" t="e">
        <f t="shared" si="17"/>
        <v>#REF!</v>
      </c>
      <c r="K187" s="40" t="e">
        <f t="shared" si="18"/>
        <v>#REF!</v>
      </c>
    </row>
    <row r="188" spans="1:11" ht="20.149999999999999" customHeight="1" x14ac:dyDescent="0.35">
      <c r="A188" s="17"/>
      <c r="B188" s="15"/>
      <c r="C188" s="15"/>
      <c r="D188" s="15"/>
      <c r="E188" s="15"/>
      <c r="F188" s="63" t="s">
        <v>208</v>
      </c>
      <c r="G188" s="64" t="e">
        <f>#REF!</f>
        <v>#REF!</v>
      </c>
      <c r="H188" s="65"/>
      <c r="I188" s="17"/>
      <c r="J188" s="39" t="e">
        <f t="shared" si="17"/>
        <v>#REF!</v>
      </c>
      <c r="K188" s="40" t="e">
        <f>IF(G188=0,0,(((SUM(A188:E188)/G188)-(I188/G188))*52))</f>
        <v>#REF!</v>
      </c>
    </row>
    <row r="189" spans="1:11" ht="20.149999999999999" customHeight="1" x14ac:dyDescent="0.35">
      <c r="A189" s="17"/>
      <c r="B189" s="15"/>
      <c r="C189" s="15"/>
      <c r="D189" s="15"/>
      <c r="E189" s="15"/>
      <c r="F189" s="63"/>
      <c r="G189" s="64" t="e">
        <f>#REF!</f>
        <v>#REF!</v>
      </c>
      <c r="H189" s="65"/>
      <c r="I189" s="17"/>
      <c r="J189" s="39" t="e">
        <f t="shared" si="17"/>
        <v>#REF!</v>
      </c>
      <c r="K189" s="40" t="e">
        <f t="shared" si="18"/>
        <v>#REF!</v>
      </c>
    </row>
    <row r="190" spans="1:11" ht="20.149999999999999" customHeight="1" x14ac:dyDescent="0.35">
      <c r="A190" s="17"/>
      <c r="B190" s="15"/>
      <c r="C190" s="15"/>
      <c r="D190" s="15"/>
      <c r="E190" s="15"/>
      <c r="F190" s="63"/>
      <c r="G190" s="64" t="e">
        <f>#REF!</f>
        <v>#REF!</v>
      </c>
      <c r="H190" s="65"/>
      <c r="I190" s="17"/>
      <c r="J190" s="39" t="e">
        <f t="shared" si="17"/>
        <v>#REF!</v>
      </c>
      <c r="K190" s="40" t="e">
        <f>IF(G190=0,0,(((SUM(A190:E190)/G190)-(I190/G190))*52))</f>
        <v>#REF!</v>
      </c>
    </row>
    <row r="191" spans="1:11" ht="20.149999999999999" customHeight="1" x14ac:dyDescent="0.35">
      <c r="A191" s="17"/>
      <c r="B191" s="15"/>
      <c r="C191" s="15"/>
      <c r="D191" s="15"/>
      <c r="E191" s="15"/>
      <c r="F191" s="34"/>
      <c r="G191" s="64">
        <v>40.950000000000003</v>
      </c>
      <c r="H191" s="65"/>
      <c r="I191" s="17"/>
      <c r="J191" s="39">
        <f t="shared" si="17"/>
        <v>0</v>
      </c>
      <c r="K191" s="40">
        <f t="shared" ref="K191:K198" si="19">IF(G191=0,0,(((SUM(A191:E191)/G191)-(I191/G191))*52))</f>
        <v>0</v>
      </c>
    </row>
    <row r="192" spans="1:11" ht="20.149999999999999" customHeight="1" x14ac:dyDescent="0.35">
      <c r="A192" s="17"/>
      <c r="B192" s="15"/>
      <c r="C192" s="15"/>
      <c r="D192" s="15"/>
      <c r="E192" s="15"/>
      <c r="F192" s="63"/>
      <c r="G192" s="64">
        <v>40.950000000000003</v>
      </c>
      <c r="H192" s="65"/>
      <c r="I192" s="17"/>
      <c r="J192" s="39">
        <f t="shared" si="17"/>
        <v>0</v>
      </c>
      <c r="K192" s="40">
        <f t="shared" si="19"/>
        <v>0</v>
      </c>
    </row>
    <row r="193" spans="1:13" x14ac:dyDescent="0.35">
      <c r="A193" s="17"/>
      <c r="B193" s="15"/>
      <c r="C193" s="15"/>
      <c r="D193" s="15"/>
      <c r="E193" s="15"/>
      <c r="F193" s="63"/>
      <c r="G193" s="64">
        <v>39.4</v>
      </c>
      <c r="H193" s="65"/>
      <c r="I193" s="17"/>
      <c r="J193" s="39">
        <f t="shared" si="17"/>
        <v>0</v>
      </c>
      <c r="K193" s="40">
        <f t="shared" si="19"/>
        <v>0</v>
      </c>
    </row>
    <row r="194" spans="1:13" ht="20.149999999999999" customHeight="1" x14ac:dyDescent="0.35">
      <c r="A194" s="17"/>
      <c r="B194" s="15"/>
      <c r="C194" s="15"/>
      <c r="D194" s="15"/>
      <c r="E194" s="15"/>
      <c r="F194" s="63" t="e">
        <f>#REF!</f>
        <v>#REF!</v>
      </c>
      <c r="G194" s="64" t="e">
        <f>#REF!</f>
        <v>#REF!</v>
      </c>
      <c r="H194" s="65"/>
      <c r="I194" s="17"/>
      <c r="J194" s="39" t="e">
        <f t="shared" si="17"/>
        <v>#REF!</v>
      </c>
      <c r="K194" s="40" t="e">
        <f t="shared" si="19"/>
        <v>#REF!</v>
      </c>
    </row>
    <row r="195" spans="1:13" ht="20.149999999999999" customHeight="1" x14ac:dyDescent="0.35">
      <c r="A195" s="17"/>
      <c r="B195" s="15"/>
      <c r="C195" s="15"/>
      <c r="D195" s="15"/>
      <c r="E195" s="15"/>
      <c r="F195" s="63" t="e">
        <f>#REF!</f>
        <v>#REF!</v>
      </c>
      <c r="G195" s="64" t="e">
        <f>#REF!</f>
        <v>#REF!</v>
      </c>
      <c r="H195" s="65"/>
      <c r="I195" s="17"/>
      <c r="J195" s="39" t="e">
        <f t="shared" si="17"/>
        <v>#REF!</v>
      </c>
      <c r="K195" s="40" t="e">
        <f t="shared" si="19"/>
        <v>#REF!</v>
      </c>
    </row>
    <row r="196" spans="1:13" ht="20.149999999999999" customHeight="1" x14ac:dyDescent="0.35">
      <c r="A196" s="17"/>
      <c r="B196" s="15"/>
      <c r="C196" s="15"/>
      <c r="D196" s="15"/>
      <c r="E196" s="15"/>
      <c r="F196" s="63" t="e">
        <f>#REF!</f>
        <v>#REF!</v>
      </c>
      <c r="G196" s="64" t="e">
        <f>#REF!</f>
        <v>#REF!</v>
      </c>
      <c r="H196" s="65"/>
      <c r="I196" s="17"/>
      <c r="J196" s="39" t="e">
        <f t="shared" si="17"/>
        <v>#REF!</v>
      </c>
      <c r="K196" s="40" t="e">
        <f t="shared" si="19"/>
        <v>#REF!</v>
      </c>
    </row>
    <row r="197" spans="1:13" ht="20.149999999999999" customHeight="1" x14ac:dyDescent="0.35">
      <c r="A197" s="17"/>
      <c r="B197" s="15"/>
      <c r="C197" s="15"/>
      <c r="D197" s="15"/>
      <c r="E197" s="15"/>
      <c r="F197" s="63" t="e">
        <f>#REF!</f>
        <v>#REF!</v>
      </c>
      <c r="G197" s="64" t="e">
        <f>#REF!</f>
        <v>#REF!</v>
      </c>
      <c r="H197" s="65"/>
      <c r="I197" s="17"/>
      <c r="J197" s="39" t="e">
        <f t="shared" si="17"/>
        <v>#REF!</v>
      </c>
      <c r="K197" s="40" t="e">
        <f t="shared" si="19"/>
        <v>#REF!</v>
      </c>
    </row>
    <row r="198" spans="1:13" ht="20.149999999999999" customHeight="1" thickBot="1" x14ac:dyDescent="0.4">
      <c r="A198" s="33"/>
      <c r="B198" s="32"/>
      <c r="C198" s="32"/>
      <c r="D198" s="32"/>
      <c r="E198" s="32"/>
      <c r="F198" s="71" t="e">
        <f>#REF!</f>
        <v>#REF!</v>
      </c>
      <c r="G198" s="72" t="e">
        <f>#REF!</f>
        <v>#REF!</v>
      </c>
      <c r="H198" s="73"/>
      <c r="I198" s="33"/>
      <c r="J198" s="74" t="e">
        <f t="shared" si="17"/>
        <v>#REF!</v>
      </c>
      <c r="K198" s="75" t="e">
        <f t="shared" si="19"/>
        <v>#REF!</v>
      </c>
    </row>
    <row r="199" spans="1:13" ht="20.149999999999999" customHeight="1" thickBot="1" x14ac:dyDescent="0.6">
      <c r="A199" s="109" t="s">
        <v>9</v>
      </c>
      <c r="B199" s="110"/>
      <c r="C199" s="110"/>
      <c r="D199" s="110"/>
      <c r="E199" s="110"/>
      <c r="F199" s="110"/>
      <c r="G199" s="110"/>
      <c r="H199" s="110"/>
      <c r="I199" s="111"/>
      <c r="J199" s="87">
        <v>409.95678002576386</v>
      </c>
      <c r="K199" s="88"/>
    </row>
    <row r="200" spans="1:13" ht="20.149999999999999" customHeight="1" thickBot="1" x14ac:dyDescent="0.6">
      <c r="A200" s="109" t="s">
        <v>27</v>
      </c>
      <c r="B200" s="110"/>
      <c r="C200" s="110"/>
      <c r="D200" s="110"/>
      <c r="E200" s="110"/>
      <c r="F200" s="110"/>
      <c r="G200" s="110"/>
      <c r="H200" s="110"/>
      <c r="I200" s="111"/>
      <c r="J200" s="89">
        <v>0</v>
      </c>
      <c r="K200" s="90"/>
    </row>
    <row r="201" spans="1:13" ht="24" thickBot="1" x14ac:dyDescent="0.6">
      <c r="A201" s="109" t="s">
        <v>55</v>
      </c>
      <c r="B201" s="110"/>
      <c r="C201" s="110"/>
      <c r="D201" s="110"/>
      <c r="E201" s="110"/>
      <c r="F201" s="110"/>
      <c r="G201" s="110"/>
      <c r="H201" s="110"/>
      <c r="I201" s="111"/>
      <c r="J201" s="89">
        <v>0</v>
      </c>
      <c r="K201" s="90"/>
    </row>
    <row r="202" spans="1:13" ht="24" thickBot="1" x14ac:dyDescent="0.6">
      <c r="A202" s="109" t="s">
        <v>11</v>
      </c>
      <c r="B202" s="110"/>
      <c r="C202" s="110"/>
      <c r="D202" s="110"/>
      <c r="E202" s="110"/>
      <c r="F202" s="110"/>
      <c r="G202" s="110"/>
      <c r="H202" s="110"/>
      <c r="I202" s="111"/>
      <c r="J202" s="87" t="e">
        <f>SUM(J162:J173)+SUM(J182:J193)</f>
        <v>#REF!</v>
      </c>
      <c r="K202" s="88"/>
    </row>
    <row r="203" spans="1:13" ht="24" customHeight="1" thickBot="1" x14ac:dyDescent="0.6">
      <c r="A203" s="109" t="s">
        <v>28</v>
      </c>
      <c r="B203" s="110"/>
      <c r="C203" s="110"/>
      <c r="D203" s="110"/>
      <c r="E203" s="110"/>
      <c r="F203" s="110"/>
      <c r="G203" s="110"/>
      <c r="H203" s="110"/>
      <c r="I203" s="111"/>
      <c r="J203" s="165">
        <v>348.25</v>
      </c>
      <c r="K203" s="166"/>
    </row>
    <row r="204" spans="1:13" ht="24" thickBot="1" x14ac:dyDescent="0.6">
      <c r="A204" s="109" t="s">
        <v>29</v>
      </c>
      <c r="B204" s="110"/>
      <c r="C204" s="110"/>
      <c r="D204" s="110"/>
      <c r="E204" s="110"/>
      <c r="F204" s="110"/>
      <c r="G204" s="110"/>
      <c r="H204" s="110"/>
      <c r="I204" s="111"/>
      <c r="J204" s="87" t="e">
        <f>J199+J200+J201-J202</f>
        <v>#REF!</v>
      </c>
      <c r="K204" s="88"/>
    </row>
    <row r="205" spans="1:13" ht="24" thickBot="1" x14ac:dyDescent="0.6">
      <c r="A205" s="109" t="s">
        <v>30</v>
      </c>
      <c r="B205" s="110"/>
      <c r="C205" s="110"/>
      <c r="D205" s="110"/>
      <c r="E205" s="110"/>
      <c r="F205" s="110"/>
      <c r="G205" s="110"/>
      <c r="H205" s="110"/>
      <c r="I205" s="111"/>
      <c r="J205" s="112" t="e">
        <f>J204/J203</f>
        <v>#REF!</v>
      </c>
      <c r="K205" s="113"/>
      <c r="L205" s="3"/>
      <c r="M205" s="2"/>
    </row>
    <row r="206" spans="1:13" ht="24" thickBot="1" x14ac:dyDescent="0.6">
      <c r="A206" s="85" t="s">
        <v>56</v>
      </c>
      <c r="B206" s="85"/>
      <c r="C206" s="85"/>
      <c r="D206" s="85"/>
      <c r="E206" s="85"/>
      <c r="F206" s="85"/>
      <c r="G206" s="85"/>
      <c r="H206" s="85"/>
      <c r="I206" s="86"/>
      <c r="J206" s="112" t="e">
        <f>((H224+H225+H227-J202)/H226)</f>
        <v>#REF!</v>
      </c>
      <c r="K206" s="113"/>
      <c r="L206" s="3"/>
      <c r="M206" s="2"/>
    </row>
    <row r="207" spans="1:13" ht="24" thickBot="1" x14ac:dyDescent="0.6">
      <c r="A207" s="160" t="s">
        <v>31</v>
      </c>
      <c r="B207" s="161"/>
      <c r="C207" s="161"/>
      <c r="D207" s="161"/>
      <c r="E207" s="161"/>
      <c r="F207" s="161"/>
      <c r="G207" s="161"/>
      <c r="H207" s="161"/>
      <c r="I207" s="162"/>
      <c r="J207" s="163">
        <v>4318.1256176473144</v>
      </c>
      <c r="K207" s="164"/>
      <c r="L207" s="3"/>
      <c r="M207" s="2"/>
    </row>
    <row r="208" spans="1:13" ht="24" thickBot="1" x14ac:dyDescent="0.6">
      <c r="A208" s="160" t="s">
        <v>32</v>
      </c>
      <c r="B208" s="161"/>
      <c r="C208" s="161"/>
      <c r="D208" s="161"/>
      <c r="E208" s="161"/>
      <c r="F208" s="161"/>
      <c r="G208" s="161"/>
      <c r="H208" s="161"/>
      <c r="I208" s="162"/>
      <c r="J208" s="163">
        <f>J58+J137+J200+J152</f>
        <v>0</v>
      </c>
      <c r="K208" s="164"/>
      <c r="L208" s="3"/>
      <c r="M208" s="2"/>
    </row>
    <row r="209" spans="1:13" ht="24" thickBot="1" x14ac:dyDescent="0.6">
      <c r="A209" s="160" t="s">
        <v>54</v>
      </c>
      <c r="B209" s="161"/>
      <c r="C209" s="161"/>
      <c r="D209" s="161"/>
      <c r="E209" s="161"/>
      <c r="F209" s="161"/>
      <c r="G209" s="161"/>
      <c r="H209" s="161"/>
      <c r="I209" s="162"/>
      <c r="J209" s="163">
        <f>J59+J138+J201+J153</f>
        <v>0</v>
      </c>
      <c r="K209" s="164"/>
      <c r="L209" s="3"/>
      <c r="M209" s="2"/>
    </row>
    <row r="210" spans="1:13" ht="24" thickBot="1" x14ac:dyDescent="0.6">
      <c r="A210" s="160" t="s">
        <v>33</v>
      </c>
      <c r="B210" s="161"/>
      <c r="C210" s="161"/>
      <c r="D210" s="161"/>
      <c r="E210" s="161"/>
      <c r="F210" s="161"/>
      <c r="G210" s="161"/>
      <c r="H210" s="161"/>
      <c r="I210" s="162"/>
      <c r="J210" s="163" t="e">
        <f>J60+J139+J202+J154</f>
        <v>#DIV/0!</v>
      </c>
      <c r="K210" s="164"/>
      <c r="L210" s="3"/>
      <c r="M210" s="2"/>
    </row>
    <row r="211" spans="1:13" ht="24" thickBot="1" x14ac:dyDescent="0.6">
      <c r="A211" s="160" t="s">
        <v>34</v>
      </c>
      <c r="B211" s="161"/>
      <c r="C211" s="161"/>
      <c r="D211" s="161"/>
      <c r="E211" s="161"/>
      <c r="F211" s="161"/>
      <c r="G211" s="161"/>
      <c r="H211" s="161"/>
      <c r="I211" s="162"/>
      <c r="J211" s="163">
        <f>J61+J140+J203+J155</f>
        <v>2687</v>
      </c>
      <c r="K211" s="164"/>
      <c r="L211" s="3"/>
      <c r="M211" s="2"/>
    </row>
    <row r="212" spans="1:13" ht="24" thickBot="1" x14ac:dyDescent="0.6">
      <c r="A212" s="160" t="s">
        <v>35</v>
      </c>
      <c r="B212" s="161"/>
      <c r="C212" s="161"/>
      <c r="D212" s="161"/>
      <c r="E212" s="161"/>
      <c r="F212" s="161"/>
      <c r="G212" s="161"/>
      <c r="H212" s="161"/>
      <c r="I212" s="162"/>
      <c r="J212" s="163" t="e">
        <f>J207+J208+J209-J210</f>
        <v>#DIV/0!</v>
      </c>
      <c r="K212" s="164"/>
      <c r="L212" s="3"/>
      <c r="M212" s="2"/>
    </row>
    <row r="213" spans="1:13" ht="24" thickBot="1" x14ac:dyDescent="0.6">
      <c r="A213" s="160" t="s">
        <v>36</v>
      </c>
      <c r="B213" s="161"/>
      <c r="C213" s="161"/>
      <c r="D213" s="161"/>
      <c r="E213" s="161"/>
      <c r="F213" s="161"/>
      <c r="G213" s="161"/>
      <c r="H213" s="161"/>
      <c r="I213" s="162"/>
      <c r="J213" s="167" t="e">
        <f>J212/J211</f>
        <v>#DIV/0!</v>
      </c>
      <c r="K213" s="168"/>
      <c r="L213" s="3"/>
      <c r="M213" s="2"/>
    </row>
    <row r="214" spans="1:13" ht="24" thickBot="1" x14ac:dyDescent="0.6">
      <c r="A214" s="169" t="s">
        <v>57</v>
      </c>
      <c r="B214" s="170"/>
      <c r="C214" s="170"/>
      <c r="D214" s="170"/>
      <c r="E214" s="170"/>
      <c r="F214" s="170"/>
      <c r="G214" s="170"/>
      <c r="H214" s="170"/>
      <c r="I214" s="171"/>
      <c r="J214" s="172" t="e">
        <f>((K224+K225+K227-J210))/K226</f>
        <v>#DIV/0!</v>
      </c>
      <c r="K214" s="173"/>
      <c r="L214" s="3"/>
      <c r="M214" s="2"/>
    </row>
    <row r="215" spans="1:13" ht="24" thickBot="1" x14ac:dyDescent="0.6">
      <c r="A215" s="190" t="s">
        <v>37</v>
      </c>
      <c r="B215" s="191"/>
      <c r="C215" s="191"/>
      <c r="D215" s="191"/>
      <c r="E215" s="191"/>
      <c r="F215" s="191"/>
      <c r="G215" s="191"/>
      <c r="H215" s="191"/>
      <c r="I215" s="191"/>
      <c r="J215" s="191"/>
      <c r="K215" s="192"/>
      <c r="L215" s="3"/>
      <c r="M215" s="2"/>
    </row>
    <row r="216" spans="1:13" ht="15" thickBot="1" x14ac:dyDescent="0.4">
      <c r="A216" s="193" t="s">
        <v>8</v>
      </c>
      <c r="B216" s="194"/>
      <c r="C216" s="194"/>
      <c r="D216" s="194"/>
      <c r="E216" s="195"/>
      <c r="F216" s="20" t="s">
        <v>38</v>
      </c>
      <c r="G216" s="19" t="s">
        <v>42</v>
      </c>
      <c r="H216" s="19" t="s">
        <v>43</v>
      </c>
      <c r="I216" s="19" t="s">
        <v>47</v>
      </c>
      <c r="J216" s="21" t="s">
        <v>46</v>
      </c>
      <c r="K216" s="21" t="s">
        <v>71</v>
      </c>
      <c r="L216" s="3"/>
      <c r="M216" s="2"/>
    </row>
    <row r="217" spans="1:13" x14ac:dyDescent="0.35">
      <c r="A217" s="196" t="s">
        <v>39</v>
      </c>
      <c r="B217" s="197"/>
      <c r="C217" s="197"/>
      <c r="D217" s="197"/>
      <c r="E217" s="198"/>
      <c r="F217" s="22">
        <v>70</v>
      </c>
      <c r="G217" s="46" t="s">
        <v>38</v>
      </c>
      <c r="H217" s="23"/>
      <c r="I217" s="24">
        <v>1</v>
      </c>
      <c r="J217" s="24">
        <v>13</v>
      </c>
      <c r="K217" s="25">
        <v>40</v>
      </c>
      <c r="L217" s="3"/>
      <c r="M217" s="2"/>
    </row>
    <row r="218" spans="1:13" ht="15" thickBot="1" x14ac:dyDescent="0.4">
      <c r="A218" s="199" t="s">
        <v>40</v>
      </c>
      <c r="B218" s="200"/>
      <c r="C218" s="200"/>
      <c r="D218" s="200"/>
      <c r="E218" s="201"/>
      <c r="F218" s="26">
        <v>36</v>
      </c>
      <c r="G218" s="47" t="s">
        <v>52</v>
      </c>
      <c r="H218" s="185" t="e">
        <f>(H217*34)+(I217*17)+(J217*8)+(K217*6)-((SUM(K162:K172))+(SUM(K182:K190)))</f>
        <v>#REF!</v>
      </c>
      <c r="I218" s="186"/>
      <c r="J218" s="186"/>
      <c r="K218" s="187"/>
      <c r="L218" s="3"/>
    </row>
    <row r="219" spans="1:13" ht="15" thickBot="1" x14ac:dyDescent="0.4">
      <c r="A219" s="199" t="s">
        <v>41</v>
      </c>
      <c r="B219" s="200"/>
      <c r="C219" s="200"/>
      <c r="D219" s="200"/>
      <c r="E219" s="201"/>
      <c r="F219" s="26">
        <v>0</v>
      </c>
      <c r="G219" s="202" t="s">
        <v>45</v>
      </c>
      <c r="H219" s="203"/>
      <c r="I219" s="203"/>
      <c r="J219" s="203"/>
      <c r="K219" s="204"/>
      <c r="L219" s="3"/>
    </row>
    <row r="220" spans="1:13" x14ac:dyDescent="0.35">
      <c r="A220" s="174" t="s">
        <v>48</v>
      </c>
      <c r="B220" s="175"/>
      <c r="C220" s="175"/>
      <c r="D220" s="175"/>
      <c r="E220" s="176"/>
      <c r="F220" s="180" t="e">
        <f>(F217+(F218*2)+(F219*3))-(SUM(K5:K37))</f>
        <v>#DIV/0!</v>
      </c>
      <c r="G220" s="46" t="s">
        <v>38</v>
      </c>
      <c r="H220" s="182">
        <v>287</v>
      </c>
      <c r="I220" s="183"/>
      <c r="J220" s="183"/>
      <c r="K220" s="184"/>
      <c r="L220" s="3"/>
    </row>
    <row r="221" spans="1:13" ht="15" thickBot="1" x14ac:dyDescent="0.4">
      <c r="A221" s="177"/>
      <c r="B221" s="178"/>
      <c r="C221" s="178"/>
      <c r="D221" s="178"/>
      <c r="E221" s="179"/>
      <c r="F221" s="181"/>
      <c r="G221" s="47" t="s">
        <v>52</v>
      </c>
      <c r="H221" s="185">
        <f>H220-(SUM(K110:K135))</f>
        <v>287</v>
      </c>
      <c r="I221" s="186"/>
      <c r="J221" s="186"/>
      <c r="K221" s="187"/>
      <c r="L221" s="3"/>
    </row>
    <row r="222" spans="1:13" x14ac:dyDescent="0.35">
      <c r="A222" s="188"/>
      <c r="B222" s="188"/>
      <c r="C222" s="188"/>
      <c r="D222" s="188"/>
      <c r="E222" s="188"/>
      <c r="F222" s="10"/>
      <c r="H222" s="189"/>
      <c r="I222" s="189"/>
      <c r="J222" s="189"/>
      <c r="K222" s="189"/>
      <c r="L222" s="3"/>
    </row>
    <row r="223" spans="1:13" x14ac:dyDescent="0.35">
      <c r="A223" s="208"/>
      <c r="B223" s="208"/>
      <c r="C223" s="208"/>
      <c r="D223" s="208"/>
      <c r="E223" s="208"/>
      <c r="F223" s="11" t="s">
        <v>8</v>
      </c>
      <c r="G223" s="11" t="s">
        <v>49</v>
      </c>
      <c r="H223" s="209" t="s">
        <v>50</v>
      </c>
      <c r="I223" s="209"/>
      <c r="J223" t="s">
        <v>61</v>
      </c>
      <c r="K223" t="s">
        <v>51</v>
      </c>
      <c r="L223" s="3"/>
    </row>
    <row r="224" spans="1:13" x14ac:dyDescent="0.35">
      <c r="A224" s="205" t="s">
        <v>9</v>
      </c>
      <c r="B224" s="205"/>
      <c r="C224" s="205"/>
      <c r="D224" s="205"/>
      <c r="E224" s="205"/>
      <c r="F224" s="12">
        <f>J57</f>
        <v>1713.9906492157534</v>
      </c>
      <c r="G224" s="12">
        <f>J136</f>
        <v>1757.8899999999999</v>
      </c>
      <c r="H224" s="206">
        <f>J199</f>
        <v>409.95678002576386</v>
      </c>
      <c r="I224" s="206"/>
      <c r="J224" s="49">
        <f>J151</f>
        <v>436.28818840579714</v>
      </c>
      <c r="K224" s="13">
        <f>SUM(F224:J224)</f>
        <v>4318.1256176473144</v>
      </c>
      <c r="L224" s="3"/>
    </row>
    <row r="225" spans="1:16" x14ac:dyDescent="0.35">
      <c r="A225" s="205" t="s">
        <v>58</v>
      </c>
      <c r="B225" s="205"/>
      <c r="C225" s="205"/>
      <c r="D225" s="205"/>
      <c r="E225" s="205"/>
      <c r="F225" s="12">
        <f>J58</f>
        <v>0</v>
      </c>
      <c r="G225" s="12">
        <f>J137</f>
        <v>0</v>
      </c>
      <c r="H225" s="206">
        <f>J200</f>
        <v>0</v>
      </c>
      <c r="I225" s="206"/>
      <c r="J225" s="49">
        <f>J152</f>
        <v>0</v>
      </c>
      <c r="K225" s="13">
        <f>SUM(F225:J225)</f>
        <v>0</v>
      </c>
      <c r="L225" s="3"/>
    </row>
    <row r="226" spans="1:16" x14ac:dyDescent="0.35">
      <c r="A226" s="205" t="s">
        <v>59</v>
      </c>
      <c r="B226" s="205"/>
      <c r="C226" s="205"/>
      <c r="D226" s="205"/>
      <c r="E226" s="205"/>
      <c r="F226" s="12">
        <f>J61</f>
        <v>0</v>
      </c>
      <c r="G226" s="12">
        <f>J140</f>
        <v>1739.25</v>
      </c>
      <c r="H226" s="206">
        <f>J203</f>
        <v>348.25</v>
      </c>
      <c r="I226" s="206"/>
      <c r="J226" s="49">
        <f>J155</f>
        <v>599.5</v>
      </c>
      <c r="K226" s="13">
        <f>SUM(F226:J226)</f>
        <v>2687</v>
      </c>
      <c r="L226" s="3"/>
    </row>
    <row r="227" spans="1:16" x14ac:dyDescent="0.35">
      <c r="A227" s="205" t="s">
        <v>60</v>
      </c>
      <c r="B227" s="205"/>
      <c r="C227" s="205"/>
      <c r="D227" s="205"/>
      <c r="E227" s="205"/>
      <c r="F227" s="48">
        <f>J59</f>
        <v>0</v>
      </c>
      <c r="G227" s="49">
        <f>J138</f>
        <v>0</v>
      </c>
      <c r="H227" s="207">
        <f>J201</f>
        <v>0</v>
      </c>
      <c r="I227" s="207"/>
      <c r="J227" s="49">
        <f>J153</f>
        <v>0</v>
      </c>
      <c r="K227" s="49">
        <f>SUM(F227:J227)</f>
        <v>0</v>
      </c>
      <c r="L227" s="3"/>
    </row>
    <row r="228" spans="1:16" x14ac:dyDescent="0.35">
      <c r="A228" s="205"/>
      <c r="B228" s="205"/>
      <c r="C228" s="205"/>
      <c r="D228" s="205"/>
      <c r="E228" s="205"/>
      <c r="F228" s="10"/>
      <c r="J228" s="8"/>
      <c r="L228" s="3"/>
    </row>
    <row r="229" spans="1:16" x14ac:dyDescent="0.35">
      <c r="A229" s="205"/>
      <c r="B229" s="205"/>
      <c r="C229" s="205"/>
      <c r="D229" s="205"/>
      <c r="E229" s="205"/>
      <c r="F229" s="10"/>
      <c r="J229" s="8"/>
      <c r="L229" s="3"/>
    </row>
    <row r="230" spans="1:16" x14ac:dyDescent="0.35">
      <c r="A230" s="208"/>
      <c r="B230" s="208"/>
      <c r="C230" s="208"/>
      <c r="D230" s="208"/>
      <c r="E230" s="208"/>
      <c r="F230" s="7"/>
      <c r="J230" s="8"/>
      <c r="L230" s="3"/>
    </row>
    <row r="231" spans="1:16" x14ac:dyDescent="0.35">
      <c r="A231" s="205"/>
      <c r="B231" s="205"/>
      <c r="C231" s="205"/>
      <c r="D231" s="205"/>
      <c r="E231" s="205"/>
      <c r="F231" s="10"/>
      <c r="J231" s="8"/>
      <c r="L231" s="2"/>
    </row>
    <row r="232" spans="1:16" x14ac:dyDescent="0.35">
      <c r="A232" s="205"/>
      <c r="B232" s="205"/>
      <c r="C232" s="205"/>
      <c r="D232" s="205"/>
      <c r="E232" s="205"/>
      <c r="F232" s="10"/>
      <c r="J232" s="8"/>
      <c r="L232" s="2"/>
    </row>
    <row r="233" spans="1:16" x14ac:dyDescent="0.35">
      <c r="A233" s="205"/>
      <c r="B233" s="205"/>
      <c r="C233" s="205"/>
      <c r="D233" s="205"/>
      <c r="E233" s="205"/>
      <c r="F233" s="10"/>
      <c r="J233" s="8"/>
      <c r="L233" s="2"/>
      <c r="M233" s="3"/>
      <c r="N233" s="4"/>
      <c r="O233" s="4"/>
      <c r="P233" s="4"/>
    </row>
    <row r="234" spans="1:16" x14ac:dyDescent="0.35">
      <c r="A234" s="205"/>
      <c r="B234" s="205"/>
      <c r="C234" s="205"/>
      <c r="D234" s="205"/>
      <c r="E234" s="205"/>
      <c r="F234" s="10"/>
      <c r="J234" s="8"/>
      <c r="L234" s="2"/>
    </row>
    <row r="235" spans="1:16" x14ac:dyDescent="0.35">
      <c r="A235" s="205"/>
      <c r="B235" s="205"/>
      <c r="C235" s="205"/>
      <c r="D235" s="205"/>
      <c r="E235" s="205"/>
      <c r="F235" s="10"/>
      <c r="J235" s="8"/>
      <c r="L235" s="2"/>
      <c r="M235" s="3"/>
      <c r="N235" s="4"/>
      <c r="O235" s="4"/>
      <c r="P235" s="4"/>
    </row>
    <row r="236" spans="1:16" x14ac:dyDescent="0.35">
      <c r="A236" s="205"/>
      <c r="B236" s="205"/>
      <c r="C236" s="205"/>
      <c r="D236" s="205"/>
      <c r="E236" s="205"/>
      <c r="F236" s="10"/>
      <c r="J236" s="8"/>
      <c r="L236" s="2"/>
      <c r="M236" s="3"/>
      <c r="N236" s="4"/>
      <c r="O236" s="4"/>
      <c r="P236" s="4"/>
    </row>
    <row r="237" spans="1:16" x14ac:dyDescent="0.35">
      <c r="A237" s="208"/>
      <c r="B237" s="208"/>
      <c r="C237" s="208"/>
      <c r="D237" s="208"/>
      <c r="E237" s="208"/>
      <c r="F237" s="7"/>
      <c r="J237" s="8"/>
      <c r="L237" s="2"/>
      <c r="M237" s="3"/>
      <c r="N237" s="4"/>
      <c r="O237" s="4"/>
      <c r="P237" s="4"/>
    </row>
    <row r="238" spans="1:16" x14ac:dyDescent="0.35">
      <c r="A238" s="208"/>
      <c r="B238" s="208"/>
      <c r="C238" s="208"/>
      <c r="D238" s="208"/>
      <c r="E238" s="208"/>
      <c r="F238" s="7"/>
      <c r="J238" s="8"/>
      <c r="L238" s="2"/>
      <c r="M238" s="3"/>
      <c r="N238" s="4"/>
      <c r="O238" s="4"/>
      <c r="P238" s="4"/>
    </row>
    <row r="239" spans="1:16" x14ac:dyDescent="0.35">
      <c r="A239" s="6"/>
      <c r="B239" s="6"/>
      <c r="C239" s="6"/>
      <c r="D239" s="6"/>
      <c r="E239" s="6"/>
      <c r="F239" s="6"/>
      <c r="J239" s="8"/>
      <c r="L239" s="2"/>
      <c r="M239" s="3"/>
      <c r="N239" s="2"/>
      <c r="O239" s="4"/>
      <c r="P239" s="4"/>
    </row>
    <row r="240" spans="1:16" x14ac:dyDescent="0.35">
      <c r="A240" s="6"/>
      <c r="B240" s="6"/>
      <c r="C240" s="6"/>
      <c r="D240" s="6"/>
      <c r="E240" s="6"/>
      <c r="F240" s="6"/>
      <c r="J240" s="8"/>
      <c r="L240" s="4"/>
      <c r="M240" s="3"/>
      <c r="N240" s="2"/>
      <c r="O240" s="4"/>
      <c r="P240" s="4"/>
    </row>
    <row r="241" spans="1:16" x14ac:dyDescent="0.35">
      <c r="A241" s="6"/>
      <c r="B241" s="6"/>
      <c r="C241" s="6"/>
      <c r="D241" s="6"/>
      <c r="E241" s="6"/>
      <c r="F241" s="6"/>
      <c r="G241" s="9"/>
      <c r="H241" s="9"/>
      <c r="I241" s="9"/>
      <c r="J241" s="9"/>
      <c r="K241" s="9"/>
      <c r="L241" s="2"/>
      <c r="M241" s="3"/>
      <c r="N241" s="4"/>
      <c r="O241" s="4"/>
      <c r="P241" s="4"/>
    </row>
    <row r="242" spans="1:16" x14ac:dyDescent="0.35">
      <c r="A242" s="6"/>
      <c r="B242" s="6"/>
      <c r="C242" s="6"/>
      <c r="D242" s="6"/>
      <c r="E242" s="6"/>
      <c r="F242" s="6"/>
      <c r="G242" s="9"/>
      <c r="H242" s="9"/>
      <c r="I242" s="9"/>
      <c r="J242" s="9"/>
      <c r="K242" s="9"/>
      <c r="L242" s="2"/>
      <c r="M242" s="3"/>
      <c r="N242" s="2"/>
      <c r="O242" s="4"/>
      <c r="P242" s="4"/>
    </row>
    <row r="243" spans="1:16" x14ac:dyDescent="0.35">
      <c r="A243" s="6"/>
      <c r="B243" s="6"/>
      <c r="C243" s="6"/>
      <c r="D243" s="6"/>
      <c r="E243" s="6"/>
      <c r="F243" s="7"/>
      <c r="G243" s="6"/>
      <c r="H243" s="6"/>
      <c r="I243" s="6"/>
      <c r="J243" s="6"/>
      <c r="K243" s="7"/>
      <c r="L243" s="2"/>
      <c r="M243" s="3"/>
      <c r="N243" s="2"/>
      <c r="O243" s="4"/>
      <c r="P243" s="4"/>
    </row>
    <row r="244" spans="1:16" x14ac:dyDescent="0.35">
      <c r="F244" s="8"/>
      <c r="G244" s="8"/>
      <c r="H244" s="8"/>
      <c r="I244" s="8"/>
      <c r="J244" s="8"/>
      <c r="L244" s="2"/>
      <c r="M244" s="3"/>
      <c r="N244" s="2"/>
      <c r="O244" s="4"/>
      <c r="P244" s="4"/>
    </row>
    <row r="245" spans="1:16" x14ac:dyDescent="0.35">
      <c r="F245" s="8"/>
      <c r="G245" s="8"/>
      <c r="H245" s="8"/>
      <c r="I245" s="8"/>
      <c r="J245" s="8"/>
      <c r="L245" s="2"/>
      <c r="M245" s="3"/>
      <c r="N245" s="2"/>
      <c r="O245" s="4"/>
      <c r="P245" s="4"/>
    </row>
    <row r="246" spans="1:16" x14ac:dyDescent="0.35">
      <c r="F246" s="8"/>
      <c r="G246" s="8"/>
      <c r="H246" s="8"/>
      <c r="I246" s="8"/>
      <c r="J246" s="8"/>
      <c r="L246" s="4"/>
      <c r="M246" s="3"/>
      <c r="N246" s="4"/>
      <c r="O246" s="4"/>
      <c r="P246" s="4"/>
    </row>
    <row r="247" spans="1:16" x14ac:dyDescent="0.35">
      <c r="F247" s="8"/>
      <c r="G247" s="8"/>
      <c r="H247" s="8"/>
      <c r="I247" s="8"/>
      <c r="J247" s="8"/>
      <c r="L247" s="2"/>
      <c r="M247" s="3"/>
      <c r="N247" s="2"/>
      <c r="O247" s="4"/>
      <c r="P247" s="4"/>
    </row>
    <row r="248" spans="1:16" x14ac:dyDescent="0.35">
      <c r="F248" s="8"/>
      <c r="G248" s="8"/>
      <c r="H248" s="8"/>
      <c r="I248" s="8"/>
      <c r="J248" s="8"/>
      <c r="L248" s="2"/>
      <c r="M248" s="3"/>
      <c r="N248" s="2"/>
      <c r="O248" s="4"/>
      <c r="P248" s="4"/>
    </row>
    <row r="249" spans="1:16" x14ac:dyDescent="0.35">
      <c r="F249" s="8"/>
      <c r="G249" s="8"/>
      <c r="H249" s="8"/>
      <c r="I249" s="8"/>
      <c r="J249" s="8"/>
      <c r="L249" s="2"/>
      <c r="M249" s="3"/>
      <c r="N249" s="2"/>
      <c r="O249" s="4"/>
      <c r="P249" s="4"/>
    </row>
    <row r="250" spans="1:16" x14ac:dyDescent="0.35">
      <c r="F250" s="8"/>
      <c r="G250" s="8"/>
      <c r="H250" s="8"/>
      <c r="I250" s="8"/>
      <c r="J250" s="8"/>
      <c r="L250" s="2"/>
      <c r="M250" s="3"/>
      <c r="N250" s="2"/>
      <c r="O250" s="4"/>
      <c r="P250" s="4"/>
    </row>
    <row r="251" spans="1:16" x14ac:dyDescent="0.35">
      <c r="F251" s="8"/>
      <c r="G251" s="8"/>
      <c r="H251" s="8"/>
      <c r="I251" s="8"/>
      <c r="J251" s="8"/>
      <c r="L251" s="2"/>
      <c r="M251" s="3"/>
      <c r="N251" s="2"/>
      <c r="O251" s="4"/>
      <c r="P251" s="4"/>
    </row>
    <row r="252" spans="1:16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L252" s="2"/>
      <c r="M252" s="3"/>
      <c r="N252" s="2"/>
      <c r="O252" s="4"/>
      <c r="P252" s="4"/>
    </row>
    <row r="253" spans="1:16" x14ac:dyDescent="0.35">
      <c r="L253" s="2"/>
      <c r="M253" s="3"/>
      <c r="N253" s="2"/>
      <c r="O253" s="4"/>
      <c r="P253" s="4"/>
    </row>
    <row r="254" spans="1:16" x14ac:dyDescent="0.35">
      <c r="L254" s="2"/>
      <c r="M254" s="3"/>
      <c r="N254" s="2"/>
      <c r="O254" s="4"/>
      <c r="P254" s="4"/>
    </row>
    <row r="255" spans="1:16" x14ac:dyDescent="0.35">
      <c r="L255" s="2"/>
      <c r="M255" s="3"/>
      <c r="N255" s="2"/>
      <c r="O255" s="4"/>
      <c r="P255" s="5"/>
    </row>
  </sheetData>
  <sheetProtection selectLockedCells="1" selectUnlockedCells="1"/>
  <mergeCells count="185">
    <mergeCell ref="A236:E236"/>
    <mergeCell ref="A237:E237"/>
    <mergeCell ref="A238:E238"/>
    <mergeCell ref="A230:E230"/>
    <mergeCell ref="A231:E231"/>
    <mergeCell ref="A232:E232"/>
    <mergeCell ref="A233:E233"/>
    <mergeCell ref="A234:E234"/>
    <mergeCell ref="A235:E235"/>
    <mergeCell ref="A226:E226"/>
    <mergeCell ref="H226:I226"/>
    <mergeCell ref="A227:E227"/>
    <mergeCell ref="H227:I227"/>
    <mergeCell ref="A228:E228"/>
    <mergeCell ref="A229:E229"/>
    <mergeCell ref="A223:E223"/>
    <mergeCell ref="H223:I223"/>
    <mergeCell ref="A224:E224"/>
    <mergeCell ref="H224:I224"/>
    <mergeCell ref="A225:E225"/>
    <mergeCell ref="H225:I225"/>
    <mergeCell ref="A220:E221"/>
    <mergeCell ref="F220:F221"/>
    <mergeCell ref="H220:K220"/>
    <mergeCell ref="H221:K221"/>
    <mergeCell ref="A222:E222"/>
    <mergeCell ref="H222:K222"/>
    <mergeCell ref="A215:K215"/>
    <mergeCell ref="A216:E216"/>
    <mergeCell ref="A217:E217"/>
    <mergeCell ref="A218:E218"/>
    <mergeCell ref="H218:K218"/>
    <mergeCell ref="A219:E219"/>
    <mergeCell ref="G219:K219"/>
    <mergeCell ref="A212:I212"/>
    <mergeCell ref="J212:K212"/>
    <mergeCell ref="A213:I213"/>
    <mergeCell ref="J213:K213"/>
    <mergeCell ref="A214:I214"/>
    <mergeCell ref="J214:K214"/>
    <mergeCell ref="A209:I209"/>
    <mergeCell ref="J209:K209"/>
    <mergeCell ref="A210:I210"/>
    <mergeCell ref="J210:K210"/>
    <mergeCell ref="A211:I211"/>
    <mergeCell ref="J211:K211"/>
    <mergeCell ref="A206:I206"/>
    <mergeCell ref="J206:K206"/>
    <mergeCell ref="A207:I207"/>
    <mergeCell ref="J207:K207"/>
    <mergeCell ref="A208:I208"/>
    <mergeCell ref="J208:K208"/>
    <mergeCell ref="A203:I203"/>
    <mergeCell ref="J203:K203"/>
    <mergeCell ref="A204:I204"/>
    <mergeCell ref="J204:K204"/>
    <mergeCell ref="A205:I205"/>
    <mergeCell ref="J205:K205"/>
    <mergeCell ref="A200:I200"/>
    <mergeCell ref="J200:K200"/>
    <mergeCell ref="A201:I201"/>
    <mergeCell ref="J201:K201"/>
    <mergeCell ref="A202:I202"/>
    <mergeCell ref="J202:K202"/>
    <mergeCell ref="J159:J160"/>
    <mergeCell ref="K159:K160"/>
    <mergeCell ref="A161:K161"/>
    <mergeCell ref="A181:K181"/>
    <mergeCell ref="A199:I199"/>
    <mergeCell ref="J199:K199"/>
    <mergeCell ref="A157:I157"/>
    <mergeCell ref="J157:K157"/>
    <mergeCell ref="A158:I158"/>
    <mergeCell ref="J158:K158"/>
    <mergeCell ref="A159:A160"/>
    <mergeCell ref="B159:E159"/>
    <mergeCell ref="F159:F160"/>
    <mergeCell ref="G159:G160"/>
    <mergeCell ref="H159:H160"/>
    <mergeCell ref="I159:I160"/>
    <mergeCell ref="A154:I154"/>
    <mergeCell ref="J154:K154"/>
    <mergeCell ref="A155:I155"/>
    <mergeCell ref="J155:K155"/>
    <mergeCell ref="A156:I156"/>
    <mergeCell ref="J156:K156"/>
    <mergeCell ref="A146:K146"/>
    <mergeCell ref="A151:I151"/>
    <mergeCell ref="J151:K151"/>
    <mergeCell ref="A152:I152"/>
    <mergeCell ref="J152:K152"/>
    <mergeCell ref="A153:I153"/>
    <mergeCell ref="J153:K153"/>
    <mergeCell ref="A143:I143"/>
    <mergeCell ref="J143:K143"/>
    <mergeCell ref="A144:A145"/>
    <mergeCell ref="B144:E144"/>
    <mergeCell ref="F144:F145"/>
    <mergeCell ref="G144:G145"/>
    <mergeCell ref="H144:H145"/>
    <mergeCell ref="I144:I145"/>
    <mergeCell ref="J144:J145"/>
    <mergeCell ref="K144:K145"/>
    <mergeCell ref="A140:I140"/>
    <mergeCell ref="J140:K140"/>
    <mergeCell ref="A141:I141"/>
    <mergeCell ref="J141:K141"/>
    <mergeCell ref="A142:I142"/>
    <mergeCell ref="J142:K142"/>
    <mergeCell ref="A137:I137"/>
    <mergeCell ref="J137:K137"/>
    <mergeCell ref="A138:I138"/>
    <mergeCell ref="J138:K138"/>
    <mergeCell ref="A139:I139"/>
    <mergeCell ref="J139:K139"/>
    <mergeCell ref="J107:J108"/>
    <mergeCell ref="K107:K108"/>
    <mergeCell ref="A109:K109"/>
    <mergeCell ref="A126:K126"/>
    <mergeCell ref="A136:I136"/>
    <mergeCell ref="J136:K136"/>
    <mergeCell ref="A107:A108"/>
    <mergeCell ref="B107:E107"/>
    <mergeCell ref="F107:F108"/>
    <mergeCell ref="G107:G108"/>
    <mergeCell ref="H107:H108"/>
    <mergeCell ref="I107:I108"/>
    <mergeCell ref="A103:I103"/>
    <mergeCell ref="J103:K103"/>
    <mergeCell ref="A104:I104"/>
    <mergeCell ref="J104:K104"/>
    <mergeCell ref="A105:I105"/>
    <mergeCell ref="J105:K105"/>
    <mergeCell ref="A100:I100"/>
    <mergeCell ref="J100:K100"/>
    <mergeCell ref="A101:I101"/>
    <mergeCell ref="J101:K101"/>
    <mergeCell ref="A102:I102"/>
    <mergeCell ref="J102:K102"/>
    <mergeCell ref="J65:J66"/>
    <mergeCell ref="K65:K66"/>
    <mergeCell ref="A67:K67"/>
    <mergeCell ref="A98:I98"/>
    <mergeCell ref="J98:K98"/>
    <mergeCell ref="A99:I99"/>
    <mergeCell ref="J99:K99"/>
    <mergeCell ref="A65:A66"/>
    <mergeCell ref="B65:E65"/>
    <mergeCell ref="F65:F66"/>
    <mergeCell ref="G65:G66"/>
    <mergeCell ref="H65:H66"/>
    <mergeCell ref="I65:I66"/>
    <mergeCell ref="A62:I62"/>
    <mergeCell ref="J62:K62"/>
    <mergeCell ref="A63:I63"/>
    <mergeCell ref="J63:K63"/>
    <mergeCell ref="A64:I64"/>
    <mergeCell ref="J64:K64"/>
    <mergeCell ref="A59:I59"/>
    <mergeCell ref="J59:K59"/>
    <mergeCell ref="A60:I60"/>
    <mergeCell ref="J60:K60"/>
    <mergeCell ref="A61:I61"/>
    <mergeCell ref="J61:K61"/>
    <mergeCell ref="A38:K38"/>
    <mergeCell ref="A44:K44"/>
    <mergeCell ref="A57:I57"/>
    <mergeCell ref="J57:K57"/>
    <mergeCell ref="A58:I58"/>
    <mergeCell ref="J58:K58"/>
    <mergeCell ref="A4:K4"/>
    <mergeCell ref="A9:K9"/>
    <mergeCell ref="A14:K14"/>
    <mergeCell ref="A22:K22"/>
    <mergeCell ref="A25:K25"/>
    <mergeCell ref="A31:K31"/>
    <mergeCell ref="A1:K1"/>
    <mergeCell ref="A2:A3"/>
    <mergeCell ref="B2:E2"/>
    <mergeCell ref="F2:F3"/>
    <mergeCell ref="G2:G3"/>
    <mergeCell ref="H2:H3"/>
    <mergeCell ref="I2:I3"/>
    <mergeCell ref="J2:J3"/>
    <mergeCell ref="K2:K3"/>
  </mergeCells>
  <conditionalFormatting sqref="L230:L237 M233:O233 M235:O237 P255">
    <cfRule type="cellIs" dxfId="1" priority="1" stopIfTrue="1" operator="lessThan">
      <formula>0</formula>
    </cfRule>
  </conditionalFormatting>
  <pageMargins left="0.27559055118110237" right="7.874015748031496E-2" top="0.27559055118110237" bottom="0.23622047244094491" header="0.23622047244094491" footer="0.23622047244094491"/>
  <pageSetup orientation="portrait" blackAndWhite="1" r:id="rId1"/>
  <rowBreaks count="2" manualBreakCount="2">
    <brk id="106" max="10" man="1"/>
    <brk id="158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24910-A33C-4A6A-95A5-C789CA394F5C}">
  <dimension ref="A1:R255"/>
  <sheetViews>
    <sheetView zoomScale="98" zoomScaleNormal="98" workbookViewId="0">
      <selection sqref="A1:K1"/>
    </sheetView>
  </sheetViews>
  <sheetFormatPr defaultRowHeight="14.5" x14ac:dyDescent="0.35"/>
  <cols>
    <col min="1" max="5" width="5.7265625" customWidth="1"/>
    <col min="6" max="6" width="32" customWidth="1"/>
    <col min="7" max="7" width="10.54296875" customWidth="1"/>
    <col min="8" max="8" width="8.54296875" customWidth="1"/>
    <col min="9" max="9" width="8.7265625" customWidth="1"/>
    <col min="10" max="11" width="10.54296875" customWidth="1"/>
  </cols>
  <sheetData>
    <row r="1" spans="1:18" ht="15" thickBot="1" x14ac:dyDescent="0.4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6"/>
      <c r="R1" s="8"/>
    </row>
    <row r="2" spans="1:18" x14ac:dyDescent="0.35">
      <c r="A2" s="117" t="s">
        <v>0</v>
      </c>
      <c r="B2" s="119" t="s">
        <v>1</v>
      </c>
      <c r="C2" s="119"/>
      <c r="D2" s="119"/>
      <c r="E2" s="119"/>
      <c r="F2" s="94" t="s">
        <v>2</v>
      </c>
      <c r="G2" s="120" t="s">
        <v>3</v>
      </c>
      <c r="H2" s="94" t="s">
        <v>4</v>
      </c>
      <c r="I2" s="94" t="s">
        <v>5</v>
      </c>
      <c r="J2" s="94" t="s">
        <v>6</v>
      </c>
      <c r="K2" s="96" t="s">
        <v>7</v>
      </c>
    </row>
    <row r="3" spans="1:18" x14ac:dyDescent="0.35">
      <c r="A3" s="118"/>
      <c r="B3" s="27">
        <v>1</v>
      </c>
      <c r="C3" s="27">
        <v>2</v>
      </c>
      <c r="D3" s="27">
        <v>3</v>
      </c>
      <c r="E3" s="27">
        <v>4</v>
      </c>
      <c r="F3" s="95"/>
      <c r="G3" s="121"/>
      <c r="H3" s="95"/>
      <c r="I3" s="95"/>
      <c r="J3" s="95"/>
      <c r="K3" s="97"/>
    </row>
    <row r="4" spans="1:18" s="1" customFormat="1" ht="20.149999999999999" customHeight="1" thickBot="1" x14ac:dyDescent="0.6">
      <c r="A4" s="127" t="s">
        <v>8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8" x14ac:dyDescent="0.35">
      <c r="A5" s="28"/>
      <c r="B5" s="60"/>
      <c r="C5" s="52"/>
      <c r="D5" s="52"/>
      <c r="E5" s="53"/>
      <c r="F5" s="79" t="s">
        <v>143</v>
      </c>
      <c r="G5" s="35">
        <v>47.35</v>
      </c>
      <c r="H5" s="36">
        <v>35.99</v>
      </c>
      <c r="I5" s="28"/>
      <c r="J5" s="37">
        <f>(I5/G5)*H5</f>
        <v>0</v>
      </c>
      <c r="K5" s="38">
        <f>((SUM(A5:E5)/G5)-(I5/G5))*39</f>
        <v>0</v>
      </c>
    </row>
    <row r="6" spans="1:18" x14ac:dyDescent="0.35">
      <c r="A6" s="17"/>
      <c r="B6" s="61"/>
      <c r="C6" s="15"/>
      <c r="D6" s="15"/>
      <c r="E6" s="54"/>
      <c r="F6" s="51" t="s">
        <v>152</v>
      </c>
      <c r="G6" s="35">
        <v>63.4</v>
      </c>
      <c r="H6" s="36">
        <v>46.99</v>
      </c>
      <c r="I6" s="17"/>
      <c r="J6" s="37">
        <f t="shared" ref="J6:J56" si="0">(I6/G6)*H6</f>
        <v>0</v>
      </c>
      <c r="K6" s="38">
        <f>((SUM(A6:E6)/G6)-(I6/G6))*26</f>
        <v>0</v>
      </c>
    </row>
    <row r="7" spans="1:18" x14ac:dyDescent="0.35">
      <c r="A7" s="17"/>
      <c r="B7" s="61"/>
      <c r="C7" s="15"/>
      <c r="D7" s="15"/>
      <c r="E7" s="54"/>
      <c r="F7" s="50" t="s">
        <v>144</v>
      </c>
      <c r="G7" s="35">
        <v>43.65</v>
      </c>
      <c r="H7" s="36">
        <v>33.99</v>
      </c>
      <c r="I7" s="17"/>
      <c r="J7" s="37">
        <f t="shared" si="0"/>
        <v>0</v>
      </c>
      <c r="K7" s="38">
        <f t="shared" ref="K7:K13" si="1">((SUM(A7:E7)/G7)-(I7/G7))*39</f>
        <v>0</v>
      </c>
    </row>
    <row r="8" spans="1:18" x14ac:dyDescent="0.35">
      <c r="A8" s="17"/>
      <c r="B8" s="61"/>
      <c r="C8" s="15"/>
      <c r="D8" s="15"/>
      <c r="E8" s="54"/>
      <c r="F8" s="51"/>
      <c r="G8" s="35"/>
      <c r="H8" s="36"/>
      <c r="I8" s="17"/>
      <c r="J8" s="37" t="e">
        <f t="shared" si="0"/>
        <v>#DIV/0!</v>
      </c>
      <c r="K8" s="38" t="e">
        <f t="shared" si="1"/>
        <v>#DIV/0!</v>
      </c>
    </row>
    <row r="9" spans="1:18" x14ac:dyDescent="0.35">
      <c r="A9" s="135" t="s">
        <v>73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8" x14ac:dyDescent="0.35">
      <c r="A10" s="17"/>
      <c r="B10" s="61"/>
      <c r="C10" s="15"/>
      <c r="D10" s="15"/>
      <c r="E10" s="54"/>
      <c r="F10" s="51" t="s">
        <v>145</v>
      </c>
      <c r="G10" s="35">
        <v>39.200000000000003</v>
      </c>
      <c r="H10" s="36">
        <v>44.99</v>
      </c>
      <c r="I10" s="17"/>
      <c r="J10" s="37">
        <f t="shared" si="0"/>
        <v>0</v>
      </c>
      <c r="K10" s="38">
        <f t="shared" si="1"/>
        <v>0</v>
      </c>
    </row>
    <row r="11" spans="1:18" x14ac:dyDescent="0.35">
      <c r="A11" s="17"/>
      <c r="B11" s="61"/>
      <c r="C11" s="15"/>
      <c r="D11" s="15"/>
      <c r="E11" s="54"/>
      <c r="F11" s="51" t="s">
        <v>146</v>
      </c>
      <c r="G11" s="35">
        <v>38.200000000000003</v>
      </c>
      <c r="H11" s="36">
        <v>26.99</v>
      </c>
      <c r="I11" s="17"/>
      <c r="J11" s="37">
        <f t="shared" si="0"/>
        <v>0</v>
      </c>
      <c r="K11" s="38">
        <f t="shared" si="1"/>
        <v>0</v>
      </c>
    </row>
    <row r="12" spans="1:18" x14ac:dyDescent="0.35">
      <c r="A12" s="17"/>
      <c r="B12" s="61"/>
      <c r="C12" s="15"/>
      <c r="D12" s="15"/>
      <c r="E12" s="54"/>
      <c r="F12" s="51" t="s">
        <v>147</v>
      </c>
      <c r="G12" s="35">
        <v>44.15</v>
      </c>
      <c r="H12" s="36">
        <v>56.99</v>
      </c>
      <c r="I12" s="17"/>
      <c r="J12" s="37">
        <f t="shared" si="0"/>
        <v>0</v>
      </c>
      <c r="K12" s="38">
        <f t="shared" si="1"/>
        <v>0</v>
      </c>
    </row>
    <row r="13" spans="1:18" x14ac:dyDescent="0.35">
      <c r="A13" s="17"/>
      <c r="B13" s="61"/>
      <c r="C13" s="15"/>
      <c r="D13" s="15"/>
      <c r="E13" s="54"/>
      <c r="F13" s="51" t="s">
        <v>148</v>
      </c>
      <c r="G13" s="35">
        <v>47.95</v>
      </c>
      <c r="H13" s="36">
        <v>99.99</v>
      </c>
      <c r="I13" s="17"/>
      <c r="J13" s="37">
        <f t="shared" si="0"/>
        <v>0</v>
      </c>
      <c r="K13" s="38">
        <f t="shared" si="1"/>
        <v>0</v>
      </c>
    </row>
    <row r="14" spans="1:18" x14ac:dyDescent="0.35">
      <c r="A14" s="135" t="s">
        <v>74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7"/>
    </row>
    <row r="15" spans="1:18" x14ac:dyDescent="0.35">
      <c r="A15" s="17"/>
      <c r="B15" s="61"/>
      <c r="C15" s="15"/>
      <c r="D15" s="15"/>
      <c r="E15" s="54"/>
      <c r="F15" s="51" t="s">
        <v>153</v>
      </c>
      <c r="G15" s="35">
        <v>64.599999999999994</v>
      </c>
      <c r="H15" s="36">
        <v>41.99</v>
      </c>
      <c r="I15" s="17"/>
      <c r="J15" s="37">
        <f t="shared" si="0"/>
        <v>0</v>
      </c>
      <c r="K15" s="38">
        <f>((SUM(A15:E15)/G15)-(I15/G15))*39</f>
        <v>0</v>
      </c>
    </row>
    <row r="16" spans="1:18" x14ac:dyDescent="0.35">
      <c r="A16" s="17"/>
      <c r="B16" s="61"/>
      <c r="C16" s="15"/>
      <c r="D16" s="15"/>
      <c r="E16" s="54"/>
      <c r="F16" s="51" t="s">
        <v>75</v>
      </c>
      <c r="G16" s="35">
        <v>47.25</v>
      </c>
      <c r="H16" s="36">
        <v>30.99</v>
      </c>
      <c r="I16" s="17"/>
      <c r="J16" s="37">
        <f t="shared" si="0"/>
        <v>0</v>
      </c>
      <c r="K16" s="38">
        <f>((SUM(A16:E16)/G16)-(I16/G16))*39</f>
        <v>0</v>
      </c>
    </row>
    <row r="17" spans="1:11" x14ac:dyDescent="0.35">
      <c r="A17" s="17"/>
      <c r="B17" s="61"/>
      <c r="C17" s="15"/>
      <c r="D17" s="15"/>
      <c r="E17" s="54"/>
      <c r="F17" s="51" t="s">
        <v>213</v>
      </c>
      <c r="G17" s="35">
        <v>42.75</v>
      </c>
      <c r="H17" s="36">
        <v>27.99</v>
      </c>
      <c r="I17" s="17"/>
      <c r="J17" s="37">
        <f t="shared" si="0"/>
        <v>0</v>
      </c>
      <c r="K17" s="38">
        <f>((SUM(A17:E17)/G17)-(I17/G17))*26</f>
        <v>0</v>
      </c>
    </row>
    <row r="18" spans="1:11" x14ac:dyDescent="0.35">
      <c r="A18" s="17"/>
      <c r="B18" s="61"/>
      <c r="C18" s="15"/>
      <c r="D18" s="15"/>
      <c r="E18" s="54"/>
      <c r="F18" s="51" t="s">
        <v>214</v>
      </c>
      <c r="G18" s="35">
        <v>45</v>
      </c>
      <c r="H18" s="36">
        <v>26.99</v>
      </c>
      <c r="I18" s="17"/>
      <c r="J18" s="37">
        <f t="shared" si="0"/>
        <v>0</v>
      </c>
      <c r="K18" s="38">
        <f>((SUM(A18:E18)/G18)-(I18/G18))*26</f>
        <v>0</v>
      </c>
    </row>
    <row r="19" spans="1:11" x14ac:dyDescent="0.35">
      <c r="A19" s="17"/>
      <c r="B19" s="61"/>
      <c r="C19" s="15"/>
      <c r="D19" s="15"/>
      <c r="E19" s="54"/>
      <c r="F19" s="51" t="s">
        <v>77</v>
      </c>
      <c r="G19" s="35">
        <v>51.1</v>
      </c>
      <c r="H19" s="36">
        <v>36.99</v>
      </c>
      <c r="I19" s="17"/>
      <c r="J19" s="37">
        <f t="shared" si="0"/>
        <v>0</v>
      </c>
      <c r="K19" s="38">
        <f t="shared" ref="K19:K26" si="2">((SUM(A19:E19)/G19)-(I19/G19))*39</f>
        <v>0</v>
      </c>
    </row>
    <row r="20" spans="1:11" x14ac:dyDescent="0.35">
      <c r="A20" s="17"/>
      <c r="B20" s="61"/>
      <c r="C20" s="15"/>
      <c r="D20" s="15"/>
      <c r="E20" s="54"/>
      <c r="F20" s="51" t="s">
        <v>155</v>
      </c>
      <c r="G20" s="35">
        <v>59.25</v>
      </c>
      <c r="H20" s="36">
        <v>22.99</v>
      </c>
      <c r="I20" s="17"/>
      <c r="J20" s="37">
        <f t="shared" si="0"/>
        <v>0</v>
      </c>
      <c r="K20" s="38">
        <f t="shared" si="2"/>
        <v>0</v>
      </c>
    </row>
    <row r="21" spans="1:11" x14ac:dyDescent="0.35">
      <c r="A21" s="17"/>
      <c r="B21" s="61"/>
      <c r="C21" s="15"/>
      <c r="D21" s="15"/>
      <c r="E21" s="54"/>
      <c r="F21" s="51" t="s">
        <v>215</v>
      </c>
      <c r="G21" s="35">
        <v>53.05</v>
      </c>
      <c r="H21" s="36">
        <v>36.99</v>
      </c>
      <c r="I21" s="17"/>
      <c r="J21" s="37">
        <f t="shared" si="0"/>
        <v>0</v>
      </c>
      <c r="K21" s="38">
        <f t="shared" si="2"/>
        <v>0</v>
      </c>
    </row>
    <row r="22" spans="1:11" x14ac:dyDescent="0.35">
      <c r="A22" s="138" t="s">
        <v>78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</row>
    <row r="23" spans="1:11" x14ac:dyDescent="0.35">
      <c r="A23" s="17"/>
      <c r="B23" s="61"/>
      <c r="C23" s="15"/>
      <c r="D23" s="15"/>
      <c r="E23" s="54"/>
      <c r="F23" s="51" t="s">
        <v>79</v>
      </c>
      <c r="G23" s="35">
        <v>45.95</v>
      </c>
      <c r="H23" s="36">
        <v>39.99</v>
      </c>
      <c r="I23" s="17"/>
      <c r="J23" s="37">
        <f t="shared" si="0"/>
        <v>0</v>
      </c>
      <c r="K23" s="38">
        <f t="shared" si="2"/>
        <v>0</v>
      </c>
    </row>
    <row r="24" spans="1:11" x14ac:dyDescent="0.35">
      <c r="A24" s="17"/>
      <c r="B24" s="61"/>
      <c r="C24" s="15"/>
      <c r="D24" s="15"/>
      <c r="E24" s="54"/>
      <c r="F24" s="51" t="s">
        <v>80</v>
      </c>
      <c r="G24" s="35">
        <v>46.1</v>
      </c>
      <c r="H24" s="36">
        <v>49.99</v>
      </c>
      <c r="I24" s="17"/>
      <c r="J24" s="37">
        <f t="shared" si="0"/>
        <v>0</v>
      </c>
      <c r="K24" s="38">
        <f t="shared" si="2"/>
        <v>0</v>
      </c>
    </row>
    <row r="25" spans="1:11" x14ac:dyDescent="0.35">
      <c r="A25" s="138" t="s">
        <v>81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1" x14ac:dyDescent="0.35">
      <c r="A26" s="17"/>
      <c r="B26" s="61"/>
      <c r="C26" s="15"/>
      <c r="D26" s="15"/>
      <c r="E26" s="54"/>
      <c r="F26" s="51" t="s">
        <v>223</v>
      </c>
      <c r="G26" s="35">
        <v>43.6</v>
      </c>
      <c r="H26" s="36">
        <v>23.99</v>
      </c>
      <c r="I26" s="17"/>
      <c r="J26" s="37">
        <f t="shared" si="0"/>
        <v>0</v>
      </c>
      <c r="K26" s="38">
        <f t="shared" si="2"/>
        <v>0</v>
      </c>
    </row>
    <row r="27" spans="1:11" x14ac:dyDescent="0.35">
      <c r="A27" s="17"/>
      <c r="B27" s="61"/>
      <c r="C27" s="15"/>
      <c r="D27" s="15"/>
      <c r="E27" s="54"/>
      <c r="F27" s="51" t="s">
        <v>224</v>
      </c>
      <c r="G27" s="35">
        <v>66.55</v>
      </c>
      <c r="H27" s="36">
        <v>29.99</v>
      </c>
      <c r="I27" s="17"/>
      <c r="J27" s="37">
        <f t="shared" si="0"/>
        <v>0</v>
      </c>
      <c r="K27" s="38">
        <f>((SUM(A27:E27)/G27)-(I27/G27))*26</f>
        <v>0</v>
      </c>
    </row>
    <row r="28" spans="1:11" x14ac:dyDescent="0.35">
      <c r="A28" s="17"/>
      <c r="B28" s="61"/>
      <c r="C28" s="15"/>
      <c r="D28" s="15"/>
      <c r="E28" s="54"/>
      <c r="F28" s="51" t="s">
        <v>83</v>
      </c>
      <c r="G28" s="35"/>
      <c r="H28" s="36">
        <v>26.99</v>
      </c>
      <c r="I28" s="17"/>
      <c r="J28" s="37" t="e">
        <f t="shared" si="0"/>
        <v>#DIV/0!</v>
      </c>
      <c r="K28" s="38" t="e">
        <f>((SUM(A28:E28)/G28)-(I28/G28))*26</f>
        <v>#DIV/0!</v>
      </c>
    </row>
    <row r="29" spans="1:11" x14ac:dyDescent="0.35">
      <c r="A29" s="17"/>
      <c r="B29" s="61"/>
      <c r="C29" s="15"/>
      <c r="D29" s="15"/>
      <c r="E29" s="54"/>
      <c r="F29" s="51" t="s">
        <v>84</v>
      </c>
      <c r="G29" s="35">
        <v>45.1</v>
      </c>
      <c r="H29" s="36">
        <v>49.99</v>
      </c>
      <c r="I29" s="17"/>
      <c r="J29" s="37">
        <f t="shared" si="0"/>
        <v>0</v>
      </c>
      <c r="K29" s="38">
        <f>((SUM(A29:E29)/G29)-(I29/G29))*26</f>
        <v>0</v>
      </c>
    </row>
    <row r="30" spans="1:11" x14ac:dyDescent="0.35">
      <c r="A30" s="17"/>
      <c r="B30" s="61"/>
      <c r="C30" s="15"/>
      <c r="D30" s="15"/>
      <c r="E30" s="54"/>
      <c r="F30" s="51" t="s">
        <v>85</v>
      </c>
      <c r="G30" s="35">
        <v>45.45</v>
      </c>
      <c r="H30" s="36">
        <v>28.99</v>
      </c>
      <c r="I30" s="17"/>
      <c r="J30" s="37">
        <f t="shared" si="0"/>
        <v>0</v>
      </c>
      <c r="K30" s="38">
        <f>((SUM(A30:E30)/G30)-(I30/G30))*39</f>
        <v>0</v>
      </c>
    </row>
    <row r="31" spans="1:11" x14ac:dyDescent="0.35">
      <c r="A31" s="138" t="s">
        <v>86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40"/>
    </row>
    <row r="32" spans="1:11" x14ac:dyDescent="0.35">
      <c r="A32" s="17"/>
      <c r="B32" s="55"/>
      <c r="C32" s="16"/>
      <c r="D32" s="16"/>
      <c r="E32" s="56"/>
      <c r="F32" s="51" t="s">
        <v>87</v>
      </c>
      <c r="G32" s="35">
        <v>44.1</v>
      </c>
      <c r="H32" s="36">
        <v>25.99</v>
      </c>
      <c r="I32" s="17"/>
      <c r="J32" s="37">
        <f t="shared" si="0"/>
        <v>0</v>
      </c>
      <c r="K32" s="38">
        <f>((SUM(A32:E32)/G32)-(I32/G32))*26</f>
        <v>0</v>
      </c>
    </row>
    <row r="33" spans="1:11" x14ac:dyDescent="0.35">
      <c r="A33" s="17"/>
      <c r="B33" s="55"/>
      <c r="C33" s="16"/>
      <c r="D33" s="16"/>
      <c r="E33" s="56"/>
      <c r="F33" s="51" t="s">
        <v>216</v>
      </c>
      <c r="G33" s="35">
        <v>41.65</v>
      </c>
      <c r="H33" s="36">
        <v>24.99</v>
      </c>
      <c r="I33" s="17"/>
      <c r="J33" s="37">
        <f t="shared" si="0"/>
        <v>0</v>
      </c>
      <c r="K33" s="38">
        <f>((SUM(A33:E33)/G33)-(I33/G33))*26</f>
        <v>0</v>
      </c>
    </row>
    <row r="34" spans="1:11" x14ac:dyDescent="0.35">
      <c r="A34" s="17"/>
      <c r="B34" s="55"/>
      <c r="C34" s="16"/>
      <c r="D34" s="16"/>
      <c r="E34" s="56"/>
      <c r="F34" s="51" t="s">
        <v>217</v>
      </c>
      <c r="G34" s="35">
        <v>53.4</v>
      </c>
      <c r="H34" s="36">
        <v>36.99</v>
      </c>
      <c r="I34" s="17"/>
      <c r="J34" s="37">
        <f>(I34/G34)*H34</f>
        <v>0</v>
      </c>
      <c r="K34" s="38">
        <f>((SUM(A34:E34)/G34)-(I34/G34))*26</f>
        <v>0</v>
      </c>
    </row>
    <row r="35" spans="1:11" x14ac:dyDescent="0.35">
      <c r="A35" s="17"/>
      <c r="B35" s="55"/>
      <c r="C35" s="16"/>
      <c r="D35" s="16"/>
      <c r="E35" s="56"/>
      <c r="F35" s="51" t="s">
        <v>218</v>
      </c>
      <c r="G35" s="35">
        <v>60.25</v>
      </c>
      <c r="H35" s="36">
        <v>57.99</v>
      </c>
      <c r="I35" s="17"/>
      <c r="J35" s="37">
        <f t="shared" si="0"/>
        <v>0</v>
      </c>
      <c r="K35" s="38">
        <f>((SUM(A35:E35)/G35)-(I35/G35))*26</f>
        <v>0</v>
      </c>
    </row>
    <row r="36" spans="1:11" x14ac:dyDescent="0.35">
      <c r="A36" s="17"/>
      <c r="B36" s="55"/>
      <c r="C36" s="16"/>
      <c r="D36" s="16"/>
      <c r="E36" s="56"/>
      <c r="F36" s="51" t="s">
        <v>219</v>
      </c>
      <c r="G36" s="35">
        <v>59.75</v>
      </c>
      <c r="H36" s="36">
        <v>36.99</v>
      </c>
      <c r="I36" s="17"/>
      <c r="J36" s="37">
        <f t="shared" si="0"/>
        <v>0</v>
      </c>
      <c r="K36" s="38">
        <f>((SUM(A36:E36)/G36)-(I36/G36))*13</f>
        <v>0</v>
      </c>
    </row>
    <row r="37" spans="1:11" x14ac:dyDescent="0.35">
      <c r="A37" s="17"/>
      <c r="B37" s="76"/>
      <c r="C37" s="77"/>
      <c r="D37" s="77"/>
      <c r="E37" s="78"/>
      <c r="F37" s="51" t="s">
        <v>220</v>
      </c>
      <c r="G37" s="35">
        <v>41.05</v>
      </c>
      <c r="H37" s="36">
        <v>22.99</v>
      </c>
      <c r="I37" s="17"/>
      <c r="J37" s="37">
        <f t="shared" si="0"/>
        <v>0</v>
      </c>
      <c r="K37" s="38">
        <f>((SUM(A37:E37)/G37)-(I37/G37))*39</f>
        <v>0</v>
      </c>
    </row>
    <row r="38" spans="1:11" x14ac:dyDescent="0.35">
      <c r="A38" s="141" t="s">
        <v>90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3"/>
    </row>
    <row r="39" spans="1:11" x14ac:dyDescent="0.35">
      <c r="A39" s="17"/>
      <c r="B39" s="55"/>
      <c r="C39" s="16"/>
      <c r="D39" s="16"/>
      <c r="E39" s="56"/>
      <c r="F39" s="50" t="s">
        <v>92</v>
      </c>
      <c r="G39" s="35">
        <v>61.95</v>
      </c>
      <c r="H39" s="36">
        <v>34.99</v>
      </c>
      <c r="I39" s="17"/>
      <c r="J39" s="37">
        <f t="shared" si="0"/>
        <v>0</v>
      </c>
      <c r="K39" s="38">
        <f t="shared" ref="K39:K56" si="3">((SUM(A39:E39)/G39)-(I39/G39))*39</f>
        <v>0</v>
      </c>
    </row>
    <row r="40" spans="1:11" x14ac:dyDescent="0.35">
      <c r="A40" s="17"/>
      <c r="B40" s="55"/>
      <c r="C40" s="16"/>
      <c r="D40" s="16"/>
      <c r="E40" s="56"/>
      <c r="F40" s="50" t="s">
        <v>163</v>
      </c>
      <c r="G40" s="35"/>
      <c r="H40" s="36"/>
      <c r="I40" s="17"/>
      <c r="J40" s="37" t="e">
        <f t="shared" si="0"/>
        <v>#DIV/0!</v>
      </c>
      <c r="K40" s="38" t="e">
        <f t="shared" ref="K40:K41" si="4">((SUM(A40:E40)/G40)-(I40/G40))*39</f>
        <v>#DIV/0!</v>
      </c>
    </row>
    <row r="41" spans="1:11" x14ac:dyDescent="0.35">
      <c r="A41" s="17"/>
      <c r="B41" s="55"/>
      <c r="C41" s="16"/>
      <c r="D41" s="16"/>
      <c r="E41" s="56"/>
      <c r="F41" s="50" t="s">
        <v>160</v>
      </c>
      <c r="G41" s="35">
        <v>43.45</v>
      </c>
      <c r="H41" s="36">
        <v>34.99</v>
      </c>
      <c r="I41" s="17"/>
      <c r="J41" s="37">
        <f t="shared" si="0"/>
        <v>0</v>
      </c>
      <c r="K41" s="38">
        <f t="shared" si="4"/>
        <v>0</v>
      </c>
    </row>
    <row r="42" spans="1:11" x14ac:dyDescent="0.35">
      <c r="A42" s="17"/>
      <c r="B42" s="55"/>
      <c r="C42" s="16"/>
      <c r="D42" s="16"/>
      <c r="E42" s="56"/>
      <c r="F42" s="50" t="s">
        <v>91</v>
      </c>
      <c r="G42" s="35">
        <v>50.85</v>
      </c>
      <c r="H42" s="36">
        <v>59.99</v>
      </c>
      <c r="I42" s="17"/>
      <c r="J42" s="37">
        <f t="shared" si="0"/>
        <v>0</v>
      </c>
      <c r="K42" s="38">
        <f t="shared" si="3"/>
        <v>0</v>
      </c>
    </row>
    <row r="43" spans="1:11" x14ac:dyDescent="0.35">
      <c r="A43" s="17"/>
      <c r="B43" s="55">
        <v>1</v>
      </c>
      <c r="C43" s="16"/>
      <c r="D43" s="16"/>
      <c r="E43" s="56"/>
      <c r="F43" s="50" t="s">
        <v>151</v>
      </c>
      <c r="G43" s="35">
        <v>47.3</v>
      </c>
      <c r="H43" s="36">
        <v>29.99</v>
      </c>
      <c r="I43" s="17"/>
      <c r="J43" s="37">
        <f t="shared" si="0"/>
        <v>0</v>
      </c>
      <c r="K43" s="38">
        <f t="shared" si="3"/>
        <v>0.82452431289640593</v>
      </c>
    </row>
    <row r="44" spans="1:11" x14ac:dyDescent="0.35">
      <c r="A44" s="138" t="s">
        <v>93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40"/>
    </row>
    <row r="45" spans="1:11" x14ac:dyDescent="0.35">
      <c r="A45" s="17"/>
      <c r="B45" s="55"/>
      <c r="C45" s="16"/>
      <c r="D45" s="16"/>
      <c r="E45" s="56"/>
      <c r="F45" s="50" t="s">
        <v>94</v>
      </c>
      <c r="G45" s="35">
        <v>43.8</v>
      </c>
      <c r="H45" s="36">
        <v>26.99</v>
      </c>
      <c r="I45" s="17"/>
      <c r="J45" s="37">
        <f t="shared" si="0"/>
        <v>0</v>
      </c>
      <c r="K45" s="38">
        <f t="shared" si="3"/>
        <v>0</v>
      </c>
    </row>
    <row r="46" spans="1:11" x14ac:dyDescent="0.35">
      <c r="A46" s="17"/>
      <c r="B46" s="55"/>
      <c r="C46" s="16"/>
      <c r="D46" s="16"/>
      <c r="E46" s="56"/>
      <c r="F46" s="50" t="s">
        <v>95</v>
      </c>
      <c r="G46" s="35">
        <v>43.8</v>
      </c>
      <c r="H46" s="36">
        <v>28.99</v>
      </c>
      <c r="I46" s="17"/>
      <c r="J46" s="37">
        <f t="shared" si="0"/>
        <v>0</v>
      </c>
      <c r="K46" s="38">
        <f t="shared" si="3"/>
        <v>0</v>
      </c>
    </row>
    <row r="47" spans="1:11" x14ac:dyDescent="0.35">
      <c r="A47" s="17"/>
      <c r="B47" s="55"/>
      <c r="C47" s="16"/>
      <c r="D47" s="16"/>
      <c r="E47" s="56"/>
      <c r="F47" s="50" t="s">
        <v>69</v>
      </c>
      <c r="G47" s="35">
        <v>50.4</v>
      </c>
      <c r="H47" s="36">
        <v>44.99</v>
      </c>
      <c r="I47" s="17"/>
      <c r="J47" s="37">
        <f t="shared" si="0"/>
        <v>0</v>
      </c>
      <c r="K47" s="38">
        <f t="shared" si="3"/>
        <v>0</v>
      </c>
    </row>
    <row r="48" spans="1:11" x14ac:dyDescent="0.35">
      <c r="A48" s="17"/>
      <c r="B48" s="55"/>
      <c r="C48" s="16"/>
      <c r="D48" s="16"/>
      <c r="E48" s="56"/>
      <c r="F48" s="50" t="s">
        <v>96</v>
      </c>
      <c r="G48" s="35">
        <v>61.3</v>
      </c>
      <c r="H48" s="36">
        <v>33.99</v>
      </c>
      <c r="I48" s="17"/>
      <c r="J48" s="37">
        <f t="shared" si="0"/>
        <v>0</v>
      </c>
      <c r="K48" s="38">
        <f t="shared" si="3"/>
        <v>0</v>
      </c>
    </row>
    <row r="49" spans="1:11" x14ac:dyDescent="0.35">
      <c r="A49" s="17"/>
      <c r="B49" s="55"/>
      <c r="C49" s="16"/>
      <c r="D49" s="16"/>
      <c r="E49" s="56"/>
      <c r="F49" s="50" t="s">
        <v>97</v>
      </c>
      <c r="G49" s="35">
        <v>50.25</v>
      </c>
      <c r="H49" s="36">
        <v>27.99</v>
      </c>
      <c r="I49" s="17"/>
      <c r="J49" s="37">
        <f t="shared" si="0"/>
        <v>0</v>
      </c>
      <c r="K49" s="38">
        <f t="shared" si="3"/>
        <v>0</v>
      </c>
    </row>
    <row r="50" spans="1:11" x14ac:dyDescent="0.35">
      <c r="A50" s="17"/>
      <c r="B50" s="55"/>
      <c r="C50" s="16"/>
      <c r="D50" s="16"/>
      <c r="E50" s="56"/>
      <c r="F50" s="50" t="s">
        <v>98</v>
      </c>
      <c r="G50" s="35">
        <v>42.45</v>
      </c>
      <c r="H50" s="36">
        <v>27.99</v>
      </c>
      <c r="I50" s="17"/>
      <c r="J50" s="37">
        <f t="shared" si="0"/>
        <v>0</v>
      </c>
      <c r="K50" s="38">
        <f t="shared" si="3"/>
        <v>0</v>
      </c>
    </row>
    <row r="51" spans="1:11" x14ac:dyDescent="0.35">
      <c r="A51" s="17"/>
      <c r="B51" s="55"/>
      <c r="C51" s="16"/>
      <c r="D51" s="16"/>
      <c r="E51" s="56"/>
      <c r="F51" s="50" t="s">
        <v>225</v>
      </c>
      <c r="G51" s="35">
        <v>42.45</v>
      </c>
      <c r="H51" s="36">
        <v>27.99</v>
      </c>
      <c r="I51" s="17"/>
      <c r="J51" s="37">
        <f t="shared" si="0"/>
        <v>0</v>
      </c>
      <c r="K51" s="38">
        <f t="shared" si="3"/>
        <v>0</v>
      </c>
    </row>
    <row r="52" spans="1:11" x14ac:dyDescent="0.35">
      <c r="A52" s="17"/>
      <c r="B52" s="55"/>
      <c r="C52" s="16"/>
      <c r="D52" s="16"/>
      <c r="E52" s="56"/>
      <c r="F52" s="50" t="s">
        <v>158</v>
      </c>
      <c r="G52" s="35">
        <v>42.45</v>
      </c>
      <c r="H52" s="36">
        <v>27.99</v>
      </c>
      <c r="I52" s="17"/>
      <c r="J52" s="37">
        <f t="shared" si="0"/>
        <v>0</v>
      </c>
      <c r="K52" s="38">
        <f t="shared" si="3"/>
        <v>0</v>
      </c>
    </row>
    <row r="53" spans="1:11" x14ac:dyDescent="0.35">
      <c r="A53" s="17"/>
      <c r="B53" s="55"/>
      <c r="C53" s="16"/>
      <c r="D53" s="16"/>
      <c r="E53" s="56"/>
      <c r="F53" s="50" t="s">
        <v>159</v>
      </c>
      <c r="G53" s="35"/>
      <c r="H53" s="36">
        <v>31.99</v>
      </c>
      <c r="I53" s="17"/>
      <c r="J53" s="37" t="e">
        <f t="shared" si="0"/>
        <v>#DIV/0!</v>
      </c>
      <c r="K53" s="38" t="e">
        <f t="shared" si="3"/>
        <v>#DIV/0!</v>
      </c>
    </row>
    <row r="54" spans="1:11" x14ac:dyDescent="0.35">
      <c r="A54" s="17"/>
      <c r="B54" s="55"/>
      <c r="C54" s="16"/>
      <c r="D54" s="16"/>
      <c r="E54" s="56"/>
      <c r="F54" s="50" t="s">
        <v>176</v>
      </c>
      <c r="G54" s="35"/>
      <c r="H54" s="36"/>
      <c r="I54" s="17"/>
      <c r="J54" s="37" t="e">
        <f t="shared" si="0"/>
        <v>#DIV/0!</v>
      </c>
      <c r="K54" s="38" t="e">
        <f t="shared" si="3"/>
        <v>#DIV/0!</v>
      </c>
    </row>
    <row r="55" spans="1:11" x14ac:dyDescent="0.35">
      <c r="A55" s="17"/>
      <c r="B55" s="55"/>
      <c r="C55" s="16"/>
      <c r="D55" s="16"/>
      <c r="E55" s="56"/>
      <c r="F55" s="50" t="s">
        <v>180</v>
      </c>
      <c r="G55" s="35">
        <v>48.45</v>
      </c>
      <c r="H55" s="36">
        <v>34.99</v>
      </c>
      <c r="I55" s="17"/>
      <c r="J55" s="37">
        <f t="shared" si="0"/>
        <v>0</v>
      </c>
      <c r="K55" s="38">
        <f t="shared" si="3"/>
        <v>0</v>
      </c>
    </row>
    <row r="56" spans="1:11" ht="15" thickBot="1" x14ac:dyDescent="0.4">
      <c r="A56" s="17"/>
      <c r="B56" s="57"/>
      <c r="C56" s="58"/>
      <c r="D56" s="58"/>
      <c r="E56" s="59"/>
      <c r="F56" s="50"/>
      <c r="G56" s="35"/>
      <c r="H56" s="36"/>
      <c r="I56" s="17"/>
      <c r="J56" s="37" t="e">
        <f t="shared" si="0"/>
        <v>#DIV/0!</v>
      </c>
      <c r="K56" s="38" t="e">
        <f t="shared" si="3"/>
        <v>#DIV/0!</v>
      </c>
    </row>
    <row r="57" spans="1:11" ht="20.149999999999999" customHeight="1" thickBot="1" x14ac:dyDescent="0.6">
      <c r="A57" s="130" t="s">
        <v>9</v>
      </c>
      <c r="B57" s="131"/>
      <c r="C57" s="131"/>
      <c r="D57" s="131"/>
      <c r="E57" s="131"/>
      <c r="F57" s="132"/>
      <c r="G57" s="132"/>
      <c r="H57" s="132"/>
      <c r="I57" s="133"/>
      <c r="J57" s="126">
        <v>1713.9906492157534</v>
      </c>
      <c r="K57" s="88"/>
    </row>
    <row r="58" spans="1:11" ht="20.149999999999999" customHeight="1" thickBot="1" x14ac:dyDescent="0.6">
      <c r="A58" s="130" t="s">
        <v>10</v>
      </c>
      <c r="B58" s="132"/>
      <c r="C58" s="132"/>
      <c r="D58" s="132"/>
      <c r="E58" s="132"/>
      <c r="F58" s="132"/>
      <c r="G58" s="132"/>
      <c r="H58" s="132"/>
      <c r="I58" s="134"/>
      <c r="J58" s="122">
        <v>0</v>
      </c>
      <c r="K58" s="90"/>
    </row>
    <row r="59" spans="1:11" ht="20.149999999999999" customHeight="1" thickBot="1" x14ac:dyDescent="0.6">
      <c r="A59" s="130" t="s">
        <v>55</v>
      </c>
      <c r="B59" s="132"/>
      <c r="C59" s="132"/>
      <c r="D59" s="132"/>
      <c r="E59" s="132"/>
      <c r="F59" s="132"/>
      <c r="G59" s="132"/>
      <c r="H59" s="132"/>
      <c r="I59" s="134"/>
      <c r="J59" s="89">
        <v>0</v>
      </c>
      <c r="K59" s="90"/>
    </row>
    <row r="60" spans="1:11" ht="20.149999999999999" customHeight="1" thickBot="1" x14ac:dyDescent="0.6">
      <c r="A60" s="130" t="s">
        <v>11</v>
      </c>
      <c r="B60" s="132"/>
      <c r="C60" s="132"/>
      <c r="D60" s="132"/>
      <c r="E60" s="132"/>
      <c r="F60" s="132"/>
      <c r="G60" s="132"/>
      <c r="H60" s="132"/>
      <c r="I60" s="134"/>
      <c r="J60" s="126" t="e">
        <f>SUM(J5:J56)</f>
        <v>#DIV/0!</v>
      </c>
      <c r="K60" s="88"/>
    </row>
    <row r="61" spans="1:11" ht="20.149999999999999" customHeight="1" thickBot="1" x14ac:dyDescent="0.6">
      <c r="A61" s="109" t="s">
        <v>12</v>
      </c>
      <c r="B61" s="110"/>
      <c r="C61" s="110"/>
      <c r="D61" s="110"/>
      <c r="E61" s="110"/>
      <c r="F61" s="110"/>
      <c r="G61" s="110"/>
      <c r="H61" s="110"/>
      <c r="I61" s="111"/>
      <c r="J61" s="122"/>
      <c r="K61" s="90"/>
    </row>
    <row r="62" spans="1:11" ht="20.149999999999999" customHeight="1" thickBot="1" x14ac:dyDescent="0.6">
      <c r="A62" s="123" t="s">
        <v>13</v>
      </c>
      <c r="B62" s="124"/>
      <c r="C62" s="124"/>
      <c r="D62" s="124"/>
      <c r="E62" s="124"/>
      <c r="F62" s="124"/>
      <c r="G62" s="124"/>
      <c r="H62" s="124"/>
      <c r="I62" s="125"/>
      <c r="J62" s="126" t="e">
        <f>J57+J58+J59-J60</f>
        <v>#DIV/0!</v>
      </c>
      <c r="K62" s="88"/>
    </row>
    <row r="63" spans="1:11" ht="20.149999999999999" customHeight="1" thickBot="1" x14ac:dyDescent="0.6">
      <c r="A63" s="109" t="s">
        <v>14</v>
      </c>
      <c r="B63" s="110"/>
      <c r="C63" s="110"/>
      <c r="D63" s="110"/>
      <c r="E63" s="110"/>
      <c r="F63" s="110"/>
      <c r="G63" s="110"/>
      <c r="H63" s="110"/>
      <c r="I63" s="111"/>
      <c r="J63" s="144" t="e">
        <f>J62/J61</f>
        <v>#DIV/0!</v>
      </c>
      <c r="K63" s="113"/>
    </row>
    <row r="64" spans="1:11" ht="20.149999999999999" customHeight="1" thickBot="1" x14ac:dyDescent="0.6">
      <c r="A64" s="109" t="s">
        <v>56</v>
      </c>
      <c r="B64" s="110"/>
      <c r="C64" s="110"/>
      <c r="D64" s="110"/>
      <c r="E64" s="110"/>
      <c r="F64" s="110"/>
      <c r="G64" s="110"/>
      <c r="H64" s="110"/>
      <c r="I64" s="111"/>
      <c r="J64" s="144" t="e">
        <f>((F224+F225+F227-J60)/F226)</f>
        <v>#DIV/0!</v>
      </c>
      <c r="K64" s="113"/>
    </row>
    <row r="65" spans="1:16" x14ac:dyDescent="0.35">
      <c r="A65" s="117" t="s">
        <v>0</v>
      </c>
      <c r="B65" s="119" t="s">
        <v>1</v>
      </c>
      <c r="C65" s="119"/>
      <c r="D65" s="119"/>
      <c r="E65" s="119"/>
      <c r="F65" s="94" t="s">
        <v>2</v>
      </c>
      <c r="G65" s="94" t="s">
        <v>3</v>
      </c>
      <c r="H65" s="94" t="s">
        <v>4</v>
      </c>
      <c r="I65" s="94" t="s">
        <v>5</v>
      </c>
      <c r="J65" s="94" t="s">
        <v>6</v>
      </c>
      <c r="K65" s="96" t="s">
        <v>7</v>
      </c>
    </row>
    <row r="66" spans="1:16" ht="20.149999999999999" customHeight="1" x14ac:dyDescent="0.35">
      <c r="A66" s="118"/>
      <c r="B66" s="27">
        <v>1</v>
      </c>
      <c r="C66" s="27">
        <v>2</v>
      </c>
      <c r="D66" s="27">
        <v>3</v>
      </c>
      <c r="E66" s="27">
        <v>4</v>
      </c>
      <c r="F66" s="95"/>
      <c r="G66" s="95"/>
      <c r="H66" s="95"/>
      <c r="I66" s="95"/>
      <c r="J66" s="95"/>
      <c r="K66" s="97"/>
    </row>
    <row r="67" spans="1:16" ht="24" thickBot="1" x14ac:dyDescent="0.6">
      <c r="A67" s="98" t="s">
        <v>122</v>
      </c>
      <c r="B67" s="99"/>
      <c r="C67" s="99"/>
      <c r="D67" s="99"/>
      <c r="E67" s="99"/>
      <c r="F67" s="99"/>
      <c r="G67" s="99"/>
      <c r="H67" s="99"/>
      <c r="I67" s="99"/>
      <c r="J67" s="100"/>
      <c r="K67" s="101"/>
    </row>
    <row r="68" spans="1:16" x14ac:dyDescent="0.35">
      <c r="A68" s="28"/>
      <c r="B68" s="14"/>
      <c r="C68" s="14"/>
      <c r="D68" s="14"/>
      <c r="E68" s="14"/>
      <c r="F68" s="34" t="s">
        <v>138</v>
      </c>
      <c r="G68" s="35"/>
      <c r="H68" s="36">
        <v>22.99</v>
      </c>
      <c r="I68" s="28"/>
      <c r="J68" s="63" t="e">
        <f>(I68/G68)*H68</f>
        <v>#DIV/0!</v>
      </c>
      <c r="K68" s="40">
        <f>(SUM(A68:E68))-I68</f>
        <v>0</v>
      </c>
      <c r="O68" s="49"/>
      <c r="P68" s="49"/>
    </row>
    <row r="69" spans="1:16" x14ac:dyDescent="0.35">
      <c r="A69" s="28"/>
      <c r="B69" s="14"/>
      <c r="C69" s="14"/>
      <c r="D69" s="14"/>
      <c r="E69" s="14"/>
      <c r="F69" s="34" t="s">
        <v>221</v>
      </c>
      <c r="G69" s="35">
        <v>69.75</v>
      </c>
      <c r="H69" s="36">
        <v>39.99</v>
      </c>
      <c r="I69" s="28"/>
      <c r="J69" s="63">
        <f t="shared" ref="J69:J97" si="5">(I69/G69)*H69</f>
        <v>0</v>
      </c>
      <c r="K69" s="40">
        <f>(SUM(A69:E69))-I69</f>
        <v>0</v>
      </c>
      <c r="O69" s="49"/>
      <c r="P69" s="49"/>
    </row>
    <row r="70" spans="1:16" x14ac:dyDescent="0.35">
      <c r="A70" s="28"/>
      <c r="B70" s="14"/>
      <c r="C70" s="14"/>
      <c r="D70" s="14"/>
      <c r="E70" s="14"/>
      <c r="F70" s="34" t="s">
        <v>126</v>
      </c>
      <c r="G70" s="35">
        <v>49.65</v>
      </c>
      <c r="H70" s="36">
        <v>24.99</v>
      </c>
      <c r="I70" s="28"/>
      <c r="J70" s="63">
        <f t="shared" si="5"/>
        <v>0</v>
      </c>
      <c r="K70" s="40">
        <f t="shared" ref="K70:K97" si="6">(SUM(A70:E70))-I70</f>
        <v>0</v>
      </c>
      <c r="O70" s="49"/>
      <c r="P70" s="49"/>
    </row>
    <row r="71" spans="1:16" x14ac:dyDescent="0.35">
      <c r="A71" s="28"/>
      <c r="B71" s="14"/>
      <c r="C71" s="14"/>
      <c r="D71" s="14"/>
      <c r="E71" s="14"/>
      <c r="F71" s="34" t="s">
        <v>124</v>
      </c>
      <c r="G71" s="35">
        <v>41.9</v>
      </c>
      <c r="H71" s="36">
        <v>20.99</v>
      </c>
      <c r="I71" s="28"/>
      <c r="J71" s="63">
        <f t="shared" si="5"/>
        <v>0</v>
      </c>
      <c r="K71" s="40">
        <f t="shared" si="6"/>
        <v>0</v>
      </c>
      <c r="O71" s="49"/>
      <c r="P71" s="49"/>
    </row>
    <row r="72" spans="1:16" x14ac:dyDescent="0.35">
      <c r="A72" s="28"/>
      <c r="B72" s="14"/>
      <c r="C72" s="14"/>
      <c r="D72" s="14"/>
      <c r="E72" s="14"/>
      <c r="F72" s="34" t="s">
        <v>125</v>
      </c>
      <c r="G72" s="35">
        <v>41.9</v>
      </c>
      <c r="H72" s="36">
        <v>20.99</v>
      </c>
      <c r="I72" s="28"/>
      <c r="J72" s="63">
        <f t="shared" si="5"/>
        <v>0</v>
      </c>
      <c r="K72" s="40">
        <f t="shared" si="6"/>
        <v>0</v>
      </c>
      <c r="O72" s="49"/>
      <c r="P72" s="49"/>
    </row>
    <row r="73" spans="1:16" x14ac:dyDescent="0.35">
      <c r="A73" s="28"/>
      <c r="B73" s="14"/>
      <c r="C73" s="14"/>
      <c r="D73" s="14"/>
      <c r="E73" s="14"/>
      <c r="F73" s="34" t="s">
        <v>123</v>
      </c>
      <c r="G73" s="35">
        <v>41.9</v>
      </c>
      <c r="H73" s="36">
        <v>21.99</v>
      </c>
      <c r="I73" s="28"/>
      <c r="J73" s="63">
        <f t="shared" si="5"/>
        <v>0</v>
      </c>
      <c r="K73" s="40">
        <f t="shared" si="6"/>
        <v>0</v>
      </c>
      <c r="O73" s="49"/>
      <c r="P73" s="49"/>
    </row>
    <row r="74" spans="1:16" x14ac:dyDescent="0.35">
      <c r="A74" s="28"/>
      <c r="B74" s="14"/>
      <c r="C74" s="14"/>
      <c r="D74" s="14"/>
      <c r="E74" s="14"/>
      <c r="F74" s="34" t="s">
        <v>129</v>
      </c>
      <c r="G74" s="35"/>
      <c r="H74" s="36">
        <v>41.99</v>
      </c>
      <c r="I74" s="28"/>
      <c r="J74" s="63" t="e">
        <f t="shared" si="5"/>
        <v>#DIV/0!</v>
      </c>
      <c r="K74" s="40">
        <f t="shared" si="6"/>
        <v>0</v>
      </c>
      <c r="O74" s="49"/>
      <c r="P74" s="49"/>
    </row>
    <row r="75" spans="1:16" x14ac:dyDescent="0.35">
      <c r="A75" s="28"/>
      <c r="B75" s="14"/>
      <c r="C75" s="14"/>
      <c r="D75" s="14"/>
      <c r="E75" s="14"/>
      <c r="F75" s="34" t="s">
        <v>127</v>
      </c>
      <c r="G75" s="35">
        <v>49.4</v>
      </c>
      <c r="H75" s="36">
        <v>20.99</v>
      </c>
      <c r="I75" s="28"/>
      <c r="J75" s="63">
        <f t="shared" si="5"/>
        <v>0</v>
      </c>
      <c r="K75" s="40">
        <f t="shared" si="6"/>
        <v>0</v>
      </c>
      <c r="O75" s="49"/>
      <c r="P75" s="49"/>
    </row>
    <row r="76" spans="1:16" x14ac:dyDescent="0.35">
      <c r="A76" s="28"/>
      <c r="B76" s="14"/>
      <c r="C76" s="14"/>
      <c r="D76" s="14"/>
      <c r="E76" s="14"/>
      <c r="F76" s="34" t="s">
        <v>70</v>
      </c>
      <c r="G76" s="35">
        <v>50.65</v>
      </c>
      <c r="H76" s="36">
        <v>32.99</v>
      </c>
      <c r="I76" s="28"/>
      <c r="J76" s="63">
        <f t="shared" si="5"/>
        <v>0</v>
      </c>
      <c r="K76" s="40">
        <f t="shared" si="6"/>
        <v>0</v>
      </c>
      <c r="O76" s="49"/>
      <c r="P76" s="49"/>
    </row>
    <row r="77" spans="1:16" x14ac:dyDescent="0.35">
      <c r="A77" s="28"/>
      <c r="B77" s="14"/>
      <c r="C77" s="14"/>
      <c r="D77" s="14"/>
      <c r="E77" s="14"/>
      <c r="F77" s="34" t="s">
        <v>128</v>
      </c>
      <c r="G77" s="35">
        <v>50.45</v>
      </c>
      <c r="H77" s="36">
        <v>24.99</v>
      </c>
      <c r="I77" s="28"/>
      <c r="J77" s="63">
        <f t="shared" si="5"/>
        <v>0</v>
      </c>
      <c r="K77" s="40">
        <f t="shared" si="6"/>
        <v>0</v>
      </c>
      <c r="O77" s="49"/>
      <c r="P77" s="49"/>
    </row>
    <row r="78" spans="1:16" x14ac:dyDescent="0.35">
      <c r="A78" s="28"/>
      <c r="B78" s="14"/>
      <c r="C78" s="14"/>
      <c r="D78" s="14"/>
      <c r="E78" s="14"/>
      <c r="F78" s="34" t="s">
        <v>67</v>
      </c>
      <c r="G78" s="35">
        <v>53.7</v>
      </c>
      <c r="H78" s="36">
        <v>27.99</v>
      </c>
      <c r="I78" s="28"/>
      <c r="J78" s="63">
        <f t="shared" si="5"/>
        <v>0</v>
      </c>
      <c r="K78" s="40">
        <f t="shared" si="6"/>
        <v>0</v>
      </c>
      <c r="O78" s="49"/>
      <c r="P78" s="49"/>
    </row>
    <row r="79" spans="1:16" x14ac:dyDescent="0.35">
      <c r="A79" s="28"/>
      <c r="B79" s="14"/>
      <c r="C79" s="14"/>
      <c r="D79" s="14"/>
      <c r="E79" s="14"/>
      <c r="F79" s="34" t="s">
        <v>131</v>
      </c>
      <c r="G79" s="35">
        <v>49.5</v>
      </c>
      <c r="H79" s="36">
        <v>39.99</v>
      </c>
      <c r="I79" s="28"/>
      <c r="J79" s="63">
        <f t="shared" si="5"/>
        <v>0</v>
      </c>
      <c r="K79" s="40">
        <f t="shared" si="6"/>
        <v>0</v>
      </c>
      <c r="O79" s="49"/>
      <c r="P79" s="49"/>
    </row>
    <row r="80" spans="1:16" x14ac:dyDescent="0.35">
      <c r="A80" s="28"/>
      <c r="B80" s="14"/>
      <c r="C80" s="14"/>
      <c r="D80" s="14"/>
      <c r="E80" s="14"/>
      <c r="F80" s="34" t="s">
        <v>161</v>
      </c>
      <c r="G80" s="35">
        <v>59.45</v>
      </c>
      <c r="H80" s="36">
        <v>38.99</v>
      </c>
      <c r="I80" s="28"/>
      <c r="J80" s="63">
        <f t="shared" si="5"/>
        <v>0</v>
      </c>
      <c r="K80" s="40">
        <f t="shared" si="6"/>
        <v>0</v>
      </c>
      <c r="O80" s="49"/>
      <c r="P80" s="49"/>
    </row>
    <row r="81" spans="1:16" x14ac:dyDescent="0.35">
      <c r="A81" s="28"/>
      <c r="B81" s="14"/>
      <c r="C81" s="14"/>
      <c r="D81" s="14"/>
      <c r="E81" s="14"/>
      <c r="F81" s="34" t="s">
        <v>133</v>
      </c>
      <c r="G81" s="35">
        <v>54.55</v>
      </c>
      <c r="H81" s="36"/>
      <c r="I81" s="28"/>
      <c r="J81" s="63">
        <f t="shared" si="5"/>
        <v>0</v>
      </c>
      <c r="K81" s="40">
        <f t="shared" si="6"/>
        <v>0</v>
      </c>
      <c r="O81" s="49"/>
      <c r="P81" s="49"/>
    </row>
    <row r="82" spans="1:16" x14ac:dyDescent="0.35">
      <c r="A82" s="28"/>
      <c r="B82" s="14"/>
      <c r="C82" s="14"/>
      <c r="D82" s="14"/>
      <c r="E82" s="14"/>
      <c r="F82" s="34" t="s">
        <v>185</v>
      </c>
      <c r="G82" s="35">
        <v>41.4</v>
      </c>
      <c r="H82" s="36">
        <v>33.99</v>
      </c>
      <c r="I82" s="28"/>
      <c r="J82" s="63">
        <f t="shared" si="5"/>
        <v>0</v>
      </c>
      <c r="K82" s="40">
        <f t="shared" si="6"/>
        <v>0</v>
      </c>
      <c r="O82" s="49"/>
      <c r="P82" s="49"/>
    </row>
    <row r="83" spans="1:16" x14ac:dyDescent="0.35">
      <c r="A83" s="28"/>
      <c r="B83" s="14"/>
      <c r="C83" s="14"/>
      <c r="D83" s="14"/>
      <c r="E83" s="14"/>
      <c r="F83" s="34" t="s">
        <v>186</v>
      </c>
      <c r="G83" s="35">
        <v>63.45</v>
      </c>
      <c r="H83" s="36">
        <v>36.99</v>
      </c>
      <c r="I83" s="28"/>
      <c r="J83" s="63">
        <f t="shared" si="5"/>
        <v>0</v>
      </c>
      <c r="K83" s="40">
        <f t="shared" si="6"/>
        <v>0</v>
      </c>
      <c r="O83" s="49"/>
      <c r="P83" s="49"/>
    </row>
    <row r="84" spans="1:16" x14ac:dyDescent="0.35">
      <c r="A84" s="28"/>
      <c r="B84" s="14"/>
      <c r="C84" s="14"/>
      <c r="D84" s="14"/>
      <c r="E84" s="14"/>
      <c r="F84" s="34" t="s">
        <v>137</v>
      </c>
      <c r="G84" s="35">
        <v>48.1</v>
      </c>
      <c r="H84" s="36">
        <v>20.99</v>
      </c>
      <c r="I84" s="28"/>
      <c r="J84" s="63">
        <f t="shared" si="5"/>
        <v>0</v>
      </c>
      <c r="K84" s="40">
        <f t="shared" si="6"/>
        <v>0</v>
      </c>
      <c r="O84" s="49"/>
      <c r="P84" s="49"/>
    </row>
    <row r="85" spans="1:16" x14ac:dyDescent="0.35">
      <c r="A85" s="28"/>
      <c r="B85" s="14"/>
      <c r="C85" s="14"/>
      <c r="D85" s="14"/>
      <c r="E85" s="14"/>
      <c r="F85" s="34" t="s">
        <v>132</v>
      </c>
      <c r="G85" s="35">
        <v>50.4</v>
      </c>
      <c r="H85" s="36">
        <v>28.99</v>
      </c>
      <c r="I85" s="28"/>
      <c r="J85" s="63">
        <f t="shared" si="5"/>
        <v>0</v>
      </c>
      <c r="K85" s="40">
        <f t="shared" si="6"/>
        <v>0</v>
      </c>
      <c r="O85" s="49"/>
      <c r="P85" s="49"/>
    </row>
    <row r="86" spans="1:16" x14ac:dyDescent="0.35">
      <c r="A86" s="28"/>
      <c r="B86" s="14"/>
      <c r="C86" s="14"/>
      <c r="D86" s="14"/>
      <c r="E86" s="14"/>
      <c r="F86" s="34" t="s">
        <v>136</v>
      </c>
      <c r="G86" s="35">
        <v>48</v>
      </c>
      <c r="H86" s="36">
        <v>20.99</v>
      </c>
      <c r="I86" s="28"/>
      <c r="J86" s="63">
        <f t="shared" si="5"/>
        <v>0</v>
      </c>
      <c r="K86" s="40">
        <f t="shared" si="6"/>
        <v>0</v>
      </c>
      <c r="O86" s="49"/>
      <c r="P86" s="49"/>
    </row>
    <row r="87" spans="1:16" x14ac:dyDescent="0.35">
      <c r="A87" s="28"/>
      <c r="B87" s="14"/>
      <c r="C87" s="14"/>
      <c r="D87" s="14"/>
      <c r="E87" s="14"/>
      <c r="F87" s="34" t="s">
        <v>222</v>
      </c>
      <c r="G87" s="35"/>
      <c r="H87" s="36"/>
      <c r="I87" s="28"/>
      <c r="J87" s="63" t="e">
        <f t="shared" si="5"/>
        <v>#DIV/0!</v>
      </c>
      <c r="K87" s="40">
        <f t="shared" si="6"/>
        <v>0</v>
      </c>
      <c r="O87" s="49"/>
      <c r="P87" s="49"/>
    </row>
    <row r="88" spans="1:16" x14ac:dyDescent="0.35">
      <c r="A88" s="28"/>
      <c r="B88" s="14"/>
      <c r="C88" s="14"/>
      <c r="D88" s="14"/>
      <c r="E88" s="14"/>
      <c r="F88" s="34" t="s">
        <v>187</v>
      </c>
      <c r="G88" s="35"/>
      <c r="H88" s="36">
        <v>20.99</v>
      </c>
      <c r="I88" s="28"/>
      <c r="J88" s="63" t="e">
        <f t="shared" si="5"/>
        <v>#DIV/0!</v>
      </c>
      <c r="K88" s="40">
        <f t="shared" si="6"/>
        <v>0</v>
      </c>
      <c r="O88" s="49"/>
      <c r="P88" s="49"/>
    </row>
    <row r="89" spans="1:16" x14ac:dyDescent="0.35">
      <c r="A89" s="28"/>
      <c r="B89" s="14"/>
      <c r="C89" s="14"/>
      <c r="D89" s="14"/>
      <c r="E89" s="14"/>
      <c r="F89" s="34" t="s">
        <v>177</v>
      </c>
      <c r="G89" s="35">
        <v>42.75</v>
      </c>
      <c r="H89" s="36">
        <v>22.99</v>
      </c>
      <c r="I89" s="28"/>
      <c r="J89" s="63">
        <f t="shared" si="5"/>
        <v>0</v>
      </c>
      <c r="K89" s="40">
        <f t="shared" si="6"/>
        <v>0</v>
      </c>
      <c r="O89" s="49"/>
      <c r="P89" s="49"/>
    </row>
    <row r="90" spans="1:16" x14ac:dyDescent="0.35">
      <c r="A90" s="28"/>
      <c r="B90" s="14"/>
      <c r="C90" s="14"/>
      <c r="D90" s="14"/>
      <c r="E90" s="14"/>
      <c r="F90" s="34" t="s">
        <v>189</v>
      </c>
      <c r="G90" s="35">
        <v>42.35</v>
      </c>
      <c r="H90" s="36">
        <v>21.99</v>
      </c>
      <c r="I90" s="28"/>
      <c r="J90" s="63">
        <f t="shared" si="5"/>
        <v>0</v>
      </c>
      <c r="K90" s="40">
        <f t="shared" si="6"/>
        <v>0</v>
      </c>
      <c r="O90" s="49"/>
      <c r="P90" s="49"/>
    </row>
    <row r="91" spans="1:16" x14ac:dyDescent="0.35">
      <c r="A91" s="28"/>
      <c r="B91" s="14"/>
      <c r="C91" s="14"/>
      <c r="D91" s="14"/>
      <c r="E91" s="14"/>
      <c r="F91" s="34" t="s">
        <v>190</v>
      </c>
      <c r="G91" s="35">
        <v>41.15</v>
      </c>
      <c r="H91" s="36">
        <v>21.99</v>
      </c>
      <c r="I91" s="28"/>
      <c r="J91" s="63">
        <f t="shared" si="5"/>
        <v>0</v>
      </c>
      <c r="K91" s="40">
        <f t="shared" ref="K91:K96" si="7">(SUM(A91:E91))-I91</f>
        <v>0</v>
      </c>
      <c r="O91" s="49"/>
      <c r="P91" s="49"/>
    </row>
    <row r="92" spans="1:16" x14ac:dyDescent="0.35">
      <c r="A92" s="28"/>
      <c r="B92" s="14"/>
      <c r="C92" s="14"/>
      <c r="D92" s="14"/>
      <c r="E92" s="14"/>
      <c r="F92" s="34" t="s">
        <v>191</v>
      </c>
      <c r="G92" s="35">
        <v>42.75</v>
      </c>
      <c r="H92" s="36">
        <v>21.99</v>
      </c>
      <c r="I92" s="28"/>
      <c r="J92" s="63">
        <f t="shared" si="5"/>
        <v>0</v>
      </c>
      <c r="K92" s="40">
        <f t="shared" si="7"/>
        <v>0</v>
      </c>
      <c r="O92" s="49"/>
      <c r="P92" s="49"/>
    </row>
    <row r="93" spans="1:16" x14ac:dyDescent="0.35">
      <c r="A93" s="28"/>
      <c r="B93" s="14"/>
      <c r="C93" s="14"/>
      <c r="D93" s="14"/>
      <c r="E93" s="14"/>
      <c r="F93" s="34" t="s">
        <v>192</v>
      </c>
      <c r="G93" s="35">
        <v>43.55</v>
      </c>
      <c r="H93" s="36">
        <v>33.99</v>
      </c>
      <c r="I93" s="28"/>
      <c r="J93" s="63">
        <f t="shared" si="5"/>
        <v>0</v>
      </c>
      <c r="K93" s="40">
        <f t="shared" si="7"/>
        <v>0</v>
      </c>
      <c r="O93" s="49"/>
      <c r="P93" s="49"/>
    </row>
    <row r="94" spans="1:16" x14ac:dyDescent="0.35">
      <c r="A94" s="28"/>
      <c r="B94" s="14"/>
      <c r="C94" s="14"/>
      <c r="D94" s="14"/>
      <c r="E94" s="14"/>
      <c r="F94" s="34" t="s">
        <v>193</v>
      </c>
      <c r="G94" s="35">
        <v>44.15</v>
      </c>
      <c r="H94" s="36">
        <v>34.99</v>
      </c>
      <c r="I94" s="28"/>
      <c r="J94" s="63">
        <f t="shared" si="5"/>
        <v>0</v>
      </c>
      <c r="K94" s="40">
        <f t="shared" si="7"/>
        <v>0</v>
      </c>
      <c r="O94" s="49"/>
      <c r="P94" s="49"/>
    </row>
    <row r="95" spans="1:16" x14ac:dyDescent="0.35">
      <c r="A95" s="28"/>
      <c r="B95" s="14"/>
      <c r="C95" s="14"/>
      <c r="D95" s="14"/>
      <c r="E95" s="14"/>
      <c r="F95" s="34" t="s">
        <v>195</v>
      </c>
      <c r="G95" s="35">
        <v>48.1</v>
      </c>
      <c r="H95" s="36">
        <v>29.99</v>
      </c>
      <c r="I95" s="28"/>
      <c r="J95" s="63">
        <f t="shared" si="5"/>
        <v>0</v>
      </c>
      <c r="K95" s="40">
        <f t="shared" si="7"/>
        <v>0</v>
      </c>
      <c r="O95" s="49"/>
      <c r="P95" s="49"/>
    </row>
    <row r="96" spans="1:16" x14ac:dyDescent="0.35">
      <c r="A96" s="28"/>
      <c r="B96" s="14"/>
      <c r="C96" s="14"/>
      <c r="D96" s="14"/>
      <c r="E96" s="14"/>
      <c r="F96" s="34" t="s">
        <v>194</v>
      </c>
      <c r="G96" s="35">
        <v>42.8</v>
      </c>
      <c r="H96" s="36">
        <v>25.99</v>
      </c>
      <c r="I96" s="28"/>
      <c r="J96" s="63">
        <f t="shared" si="5"/>
        <v>0</v>
      </c>
      <c r="K96" s="40">
        <f t="shared" si="7"/>
        <v>0</v>
      </c>
      <c r="O96" s="49"/>
      <c r="P96" s="49"/>
    </row>
    <row r="97" spans="1:16" ht="15" thickBot="1" x14ac:dyDescent="0.4">
      <c r="A97" s="28"/>
      <c r="B97" s="14"/>
      <c r="C97" s="14"/>
      <c r="D97" s="14"/>
      <c r="E97" s="14"/>
      <c r="F97" s="34" t="s">
        <v>188</v>
      </c>
      <c r="G97" s="35">
        <v>53.9</v>
      </c>
      <c r="H97" s="36">
        <v>33.99</v>
      </c>
      <c r="I97" s="28"/>
      <c r="J97" s="63">
        <f t="shared" si="5"/>
        <v>0</v>
      </c>
      <c r="K97" s="40">
        <f t="shared" si="6"/>
        <v>0</v>
      </c>
      <c r="O97" s="49"/>
      <c r="P97" s="49"/>
    </row>
    <row r="98" spans="1:16" ht="17.25" customHeight="1" thickBot="1" x14ac:dyDescent="0.6">
      <c r="A98" s="84" t="s">
        <v>9</v>
      </c>
      <c r="B98" s="85"/>
      <c r="C98" s="85"/>
      <c r="D98" s="85"/>
      <c r="E98" s="85"/>
      <c r="F98" s="85"/>
      <c r="G98" s="85"/>
      <c r="H98" s="85"/>
      <c r="I98" s="86"/>
      <c r="J98" s="87"/>
      <c r="K98" s="88"/>
      <c r="O98" s="49"/>
      <c r="P98" s="49"/>
    </row>
    <row r="99" spans="1:16" ht="24" thickBot="1" x14ac:dyDescent="0.6">
      <c r="A99" s="84" t="s">
        <v>139</v>
      </c>
      <c r="B99" s="85"/>
      <c r="C99" s="85"/>
      <c r="D99" s="85"/>
      <c r="E99" s="85"/>
      <c r="F99" s="85"/>
      <c r="G99" s="85"/>
      <c r="H99" s="85"/>
      <c r="I99" s="86"/>
      <c r="J99" s="89">
        <v>0</v>
      </c>
      <c r="K99" s="90"/>
    </row>
    <row r="100" spans="1:16" ht="24" thickBot="1" x14ac:dyDescent="0.6">
      <c r="A100" s="84" t="s">
        <v>55</v>
      </c>
      <c r="B100" s="85"/>
      <c r="C100" s="85"/>
      <c r="D100" s="85"/>
      <c r="E100" s="85"/>
      <c r="F100" s="85"/>
      <c r="G100" s="85"/>
      <c r="H100" s="85"/>
      <c r="I100" s="86"/>
      <c r="J100" s="89">
        <v>0</v>
      </c>
      <c r="K100" s="90"/>
    </row>
    <row r="101" spans="1:16" ht="24" thickBot="1" x14ac:dyDescent="0.6">
      <c r="A101" s="84" t="s">
        <v>11</v>
      </c>
      <c r="B101" s="85"/>
      <c r="C101" s="85"/>
      <c r="D101" s="85"/>
      <c r="E101" s="85"/>
      <c r="F101" s="85"/>
      <c r="G101" s="85"/>
      <c r="H101" s="85"/>
      <c r="I101" s="86"/>
      <c r="J101" s="87" t="e">
        <f>SUM(J66:J97)</f>
        <v>#DIV/0!</v>
      </c>
      <c r="K101" s="88"/>
    </row>
    <row r="102" spans="1:16" ht="24" thickBot="1" x14ac:dyDescent="0.6">
      <c r="A102" s="84" t="s">
        <v>140</v>
      </c>
      <c r="B102" s="85"/>
      <c r="C102" s="85"/>
      <c r="D102" s="85"/>
      <c r="E102" s="85"/>
      <c r="F102" s="85"/>
      <c r="G102" s="85"/>
      <c r="H102" s="85"/>
      <c r="I102" s="86"/>
      <c r="J102" s="89">
        <v>1739.25</v>
      </c>
      <c r="K102" s="90"/>
      <c r="O102" s="49"/>
      <c r="P102" s="49"/>
    </row>
    <row r="103" spans="1:16" ht="24" thickBot="1" x14ac:dyDescent="0.6">
      <c r="A103" s="84" t="s">
        <v>141</v>
      </c>
      <c r="B103" s="85"/>
      <c r="C103" s="85"/>
      <c r="D103" s="85"/>
      <c r="E103" s="85"/>
      <c r="F103" s="85"/>
      <c r="G103" s="85"/>
      <c r="H103" s="85"/>
      <c r="I103" s="86"/>
      <c r="J103" s="87" t="e">
        <f>J98+J99+J100-J101</f>
        <v>#DIV/0!</v>
      </c>
      <c r="K103" s="88"/>
      <c r="O103" s="49"/>
      <c r="P103" s="49"/>
    </row>
    <row r="104" spans="1:16" ht="24" thickBot="1" x14ac:dyDescent="0.6">
      <c r="A104" s="109" t="s">
        <v>142</v>
      </c>
      <c r="B104" s="110"/>
      <c r="C104" s="110"/>
      <c r="D104" s="110"/>
      <c r="E104" s="110"/>
      <c r="F104" s="110"/>
      <c r="G104" s="110"/>
      <c r="H104" s="110"/>
      <c r="I104" s="111"/>
      <c r="J104" s="112" t="e">
        <f>J103/J102</f>
        <v>#DIV/0!</v>
      </c>
      <c r="K104" s="113"/>
      <c r="O104" s="49"/>
      <c r="P104" s="49"/>
    </row>
    <row r="105" spans="1:16" ht="24" thickBot="1" x14ac:dyDescent="0.6">
      <c r="A105" s="109" t="s">
        <v>56</v>
      </c>
      <c r="B105" s="110"/>
      <c r="C105" s="110"/>
      <c r="D105" s="110"/>
      <c r="E105" s="110"/>
      <c r="F105" s="110"/>
      <c r="G105" s="110"/>
      <c r="H105" s="110"/>
      <c r="I105" s="111"/>
      <c r="J105" s="112" t="e">
        <f>((G187+G188+G190-J101)/G189)</f>
        <v>#REF!</v>
      </c>
      <c r="K105" s="113"/>
      <c r="O105" s="49"/>
      <c r="P105" s="49"/>
    </row>
    <row r="106" spans="1:16" ht="15" thickBot="1" x14ac:dyDescent="0.4">
      <c r="A106" s="62"/>
      <c r="B106" s="15"/>
      <c r="C106" s="15"/>
      <c r="D106" s="15"/>
      <c r="E106" s="15"/>
      <c r="F106" s="34"/>
      <c r="G106" s="35" t="e">
        <f>#REF!</f>
        <v>#REF!</v>
      </c>
      <c r="H106" s="36"/>
      <c r="I106" s="28"/>
      <c r="J106" s="39">
        <f t="shared" ref="J106" si="8">I106*H106</f>
        <v>0</v>
      </c>
      <c r="K106" s="40">
        <f t="shared" ref="K106" si="9">(SUM(A106:E106))-I106</f>
        <v>0</v>
      </c>
      <c r="O106" s="49"/>
      <c r="P106" s="49"/>
    </row>
    <row r="107" spans="1:16" x14ac:dyDescent="0.35">
      <c r="A107" s="145" t="s">
        <v>0</v>
      </c>
      <c r="B107" s="147" t="s">
        <v>1</v>
      </c>
      <c r="C107" s="148"/>
      <c r="D107" s="148"/>
      <c r="E107" s="149"/>
      <c r="F107" s="102" t="s">
        <v>2</v>
      </c>
      <c r="G107" s="102" t="s">
        <v>3</v>
      </c>
      <c r="H107" s="102" t="s">
        <v>4</v>
      </c>
      <c r="I107" s="102" t="s">
        <v>5</v>
      </c>
      <c r="J107" s="102" t="s">
        <v>6</v>
      </c>
      <c r="K107" s="104" t="s">
        <v>7</v>
      </c>
      <c r="O107" s="49"/>
      <c r="P107" s="49"/>
    </row>
    <row r="108" spans="1:16" x14ac:dyDescent="0.35">
      <c r="A108" s="146"/>
      <c r="B108" s="27">
        <v>1</v>
      </c>
      <c r="C108" s="27">
        <v>2</v>
      </c>
      <c r="D108" s="27">
        <v>3</v>
      </c>
      <c r="E108" s="27">
        <v>4</v>
      </c>
      <c r="F108" s="103"/>
      <c r="G108" s="103"/>
      <c r="H108" s="103"/>
      <c r="I108" s="103"/>
      <c r="J108" s="103"/>
      <c r="K108" s="105"/>
      <c r="O108" s="49"/>
      <c r="P108" s="49"/>
    </row>
    <row r="109" spans="1:16" ht="23.5" x14ac:dyDescent="0.55000000000000004">
      <c r="A109" s="106" t="s">
        <v>15</v>
      </c>
      <c r="B109" s="107"/>
      <c r="C109" s="107"/>
      <c r="D109" s="107"/>
      <c r="E109" s="107"/>
      <c r="F109" s="107"/>
      <c r="G109" s="107"/>
      <c r="H109" s="107"/>
      <c r="I109" s="107"/>
      <c r="J109" s="107"/>
      <c r="K109" s="108"/>
      <c r="O109" s="49"/>
      <c r="P109" s="49"/>
    </row>
    <row r="110" spans="1:16" x14ac:dyDescent="0.35">
      <c r="A110" s="28"/>
      <c r="B110" s="14"/>
      <c r="C110" s="14"/>
      <c r="D110" s="14"/>
      <c r="E110" s="14"/>
      <c r="F110" s="34" t="s">
        <v>104</v>
      </c>
      <c r="G110" s="35" t="e">
        <f>#REF!</f>
        <v>#REF!</v>
      </c>
      <c r="H110" s="36">
        <v>2.06</v>
      </c>
      <c r="I110" s="28"/>
      <c r="J110" s="39">
        <f>I110*H110</f>
        <v>0</v>
      </c>
      <c r="K110" s="40">
        <f>(SUM(A110:E110))-I110</f>
        <v>0</v>
      </c>
      <c r="O110" s="49"/>
      <c r="P110" s="49"/>
    </row>
    <row r="111" spans="1:16" x14ac:dyDescent="0.35">
      <c r="A111" s="17"/>
      <c r="B111" s="15"/>
      <c r="C111" s="15"/>
      <c r="D111" s="15"/>
      <c r="E111" s="15"/>
      <c r="F111" s="34" t="s">
        <v>103</v>
      </c>
      <c r="G111" s="35" t="e">
        <f>#REF!</f>
        <v>#REF!</v>
      </c>
      <c r="H111" s="36">
        <v>2.06</v>
      </c>
      <c r="I111" s="17"/>
      <c r="J111" s="39">
        <f t="shared" ref="J111:J125" si="10">I111*H111</f>
        <v>0</v>
      </c>
      <c r="K111" s="40">
        <f t="shared" ref="K111:K125" si="11">(SUM(A111:E111))-I111</f>
        <v>0</v>
      </c>
      <c r="O111" s="49"/>
      <c r="P111" s="49"/>
    </row>
    <row r="112" spans="1:16" x14ac:dyDescent="0.35">
      <c r="A112" s="17"/>
      <c r="B112" s="15"/>
      <c r="C112" s="15"/>
      <c r="D112" s="15"/>
      <c r="E112" s="15"/>
      <c r="F112" s="34" t="s">
        <v>100</v>
      </c>
      <c r="G112" s="35" t="e">
        <f>#REF!</f>
        <v>#REF!</v>
      </c>
      <c r="H112" s="36">
        <v>1.82</v>
      </c>
      <c r="I112" s="17"/>
      <c r="J112" s="39">
        <f t="shared" si="10"/>
        <v>0</v>
      </c>
      <c r="K112" s="40">
        <f t="shared" si="11"/>
        <v>0</v>
      </c>
      <c r="O112" s="49"/>
      <c r="P112" s="49"/>
    </row>
    <row r="113" spans="1:16" x14ac:dyDescent="0.35">
      <c r="A113" s="17"/>
      <c r="B113" s="15"/>
      <c r="C113" s="15"/>
      <c r="D113" s="15"/>
      <c r="E113" s="15"/>
      <c r="F113" s="34" t="s">
        <v>106</v>
      </c>
      <c r="G113" s="35" t="e">
        <f>#REF!</f>
        <v>#REF!</v>
      </c>
      <c r="H113" s="36">
        <v>2.5</v>
      </c>
      <c r="I113" s="17"/>
      <c r="J113" s="39">
        <f t="shared" si="10"/>
        <v>0</v>
      </c>
      <c r="K113" s="40">
        <f t="shared" si="11"/>
        <v>0</v>
      </c>
      <c r="O113" s="49"/>
      <c r="P113" s="49"/>
    </row>
    <row r="114" spans="1:16" x14ac:dyDescent="0.35">
      <c r="A114" s="17"/>
      <c r="B114" s="15"/>
      <c r="C114" s="15"/>
      <c r="D114" s="15"/>
      <c r="E114" s="15"/>
      <c r="F114" s="34" t="s">
        <v>175</v>
      </c>
      <c r="G114" s="35">
        <v>1</v>
      </c>
      <c r="H114" s="36">
        <v>2</v>
      </c>
      <c r="I114" s="17"/>
      <c r="J114" s="39">
        <f t="shared" si="10"/>
        <v>0</v>
      </c>
      <c r="K114" s="40">
        <f t="shared" si="11"/>
        <v>0</v>
      </c>
      <c r="O114" s="49"/>
      <c r="P114" s="49"/>
    </row>
    <row r="115" spans="1:16" x14ac:dyDescent="0.35">
      <c r="A115" s="17"/>
      <c r="B115" s="15"/>
      <c r="C115" s="15"/>
      <c r="D115" s="15"/>
      <c r="E115" s="15"/>
      <c r="F115" s="34" t="s">
        <v>16</v>
      </c>
      <c r="G115" s="35" t="e">
        <f>#REF!</f>
        <v>#REF!</v>
      </c>
      <c r="H115" s="36">
        <v>2.2000000000000002</v>
      </c>
      <c r="I115" s="17"/>
      <c r="J115" s="39">
        <f t="shared" si="10"/>
        <v>0</v>
      </c>
      <c r="K115" s="40">
        <f t="shared" si="11"/>
        <v>0</v>
      </c>
      <c r="O115" s="49"/>
      <c r="P115" s="49"/>
    </row>
    <row r="116" spans="1:16" x14ac:dyDescent="0.35">
      <c r="A116" s="17"/>
      <c r="B116" s="15"/>
      <c r="C116" s="15"/>
      <c r="D116" s="15"/>
      <c r="E116" s="15"/>
      <c r="F116" s="34" t="s">
        <v>17</v>
      </c>
      <c r="G116" s="35" t="e">
        <f>#REF!</f>
        <v>#REF!</v>
      </c>
      <c r="H116" s="36">
        <v>3</v>
      </c>
      <c r="I116" s="17"/>
      <c r="J116" s="39">
        <f t="shared" si="10"/>
        <v>0</v>
      </c>
      <c r="K116" s="40">
        <f t="shared" si="11"/>
        <v>0</v>
      </c>
      <c r="O116" s="49"/>
      <c r="P116" s="49"/>
    </row>
    <row r="117" spans="1:16" x14ac:dyDescent="0.35">
      <c r="A117" s="17"/>
      <c r="B117" s="15"/>
      <c r="C117" s="15"/>
      <c r="D117" s="15"/>
      <c r="E117" s="15"/>
      <c r="F117" s="34" t="s">
        <v>105</v>
      </c>
      <c r="G117" s="35" t="e">
        <f>#REF!</f>
        <v>#REF!</v>
      </c>
      <c r="H117" s="36">
        <v>2.14</v>
      </c>
      <c r="I117" s="17"/>
      <c r="J117" s="39">
        <f t="shared" si="10"/>
        <v>0</v>
      </c>
      <c r="K117" s="40">
        <f t="shared" si="11"/>
        <v>0</v>
      </c>
      <c r="O117" s="49"/>
      <c r="P117" s="49"/>
    </row>
    <row r="118" spans="1:16" x14ac:dyDescent="0.35">
      <c r="A118" s="31"/>
      <c r="B118" s="15"/>
      <c r="C118" s="15"/>
      <c r="D118" s="15"/>
      <c r="E118" s="15"/>
      <c r="F118" s="34" t="s">
        <v>102</v>
      </c>
      <c r="G118" s="35" t="e">
        <f>#REF!</f>
        <v>#REF!</v>
      </c>
      <c r="H118" s="36">
        <v>2.06</v>
      </c>
      <c r="I118" s="31"/>
      <c r="J118" s="39">
        <f t="shared" si="10"/>
        <v>0</v>
      </c>
      <c r="K118" s="40">
        <f t="shared" si="11"/>
        <v>0</v>
      </c>
      <c r="O118" s="49"/>
      <c r="P118" s="49"/>
    </row>
    <row r="119" spans="1:16" x14ac:dyDescent="0.35">
      <c r="A119" s="17"/>
      <c r="B119" s="15"/>
      <c r="C119" s="15"/>
      <c r="D119" s="15"/>
      <c r="E119" s="15"/>
      <c r="F119" s="34" t="s">
        <v>44</v>
      </c>
      <c r="G119" s="35" t="e">
        <f>#REF!</f>
        <v>#REF!</v>
      </c>
      <c r="H119" s="36">
        <v>2.08</v>
      </c>
      <c r="I119" s="17"/>
      <c r="J119" s="39">
        <f t="shared" si="10"/>
        <v>0</v>
      </c>
      <c r="K119" s="40">
        <f t="shared" si="11"/>
        <v>0</v>
      </c>
      <c r="O119" s="49"/>
      <c r="P119" s="49"/>
    </row>
    <row r="120" spans="1:16" x14ac:dyDescent="0.35">
      <c r="A120" s="17"/>
      <c r="B120" s="15"/>
      <c r="C120" s="15"/>
      <c r="D120" s="15"/>
      <c r="E120" s="15"/>
      <c r="F120" s="34" t="s">
        <v>107</v>
      </c>
      <c r="G120" s="35" t="e">
        <f>#REF!</f>
        <v>#REF!</v>
      </c>
      <c r="H120" s="36">
        <v>2.33</v>
      </c>
      <c r="I120" s="17"/>
      <c r="J120" s="39">
        <f t="shared" si="10"/>
        <v>0</v>
      </c>
      <c r="K120" s="40">
        <f t="shared" si="11"/>
        <v>0</v>
      </c>
      <c r="O120" s="49"/>
      <c r="P120" s="49"/>
    </row>
    <row r="121" spans="1:16" x14ac:dyDescent="0.35">
      <c r="A121" s="17"/>
      <c r="B121" s="15"/>
      <c r="C121" s="15"/>
      <c r="D121" s="15"/>
      <c r="E121" s="15"/>
      <c r="F121" s="34" t="s">
        <v>101</v>
      </c>
      <c r="G121" s="35" t="e">
        <f>#REF!</f>
        <v>#REF!</v>
      </c>
      <c r="H121" s="36">
        <v>1.82</v>
      </c>
      <c r="I121" s="17"/>
      <c r="J121" s="39">
        <f t="shared" si="10"/>
        <v>0</v>
      </c>
      <c r="K121" s="40">
        <f t="shared" si="11"/>
        <v>0</v>
      </c>
      <c r="O121" s="49"/>
      <c r="P121" s="49"/>
    </row>
    <row r="122" spans="1:16" x14ac:dyDescent="0.35">
      <c r="A122" s="17"/>
      <c r="B122" s="15"/>
      <c r="C122" s="15"/>
      <c r="D122" s="15"/>
      <c r="E122" s="15"/>
      <c r="F122" s="34" t="s">
        <v>108</v>
      </c>
      <c r="G122" s="35" t="e">
        <f>#REF!</f>
        <v>#REF!</v>
      </c>
      <c r="H122" s="36">
        <v>1.5</v>
      </c>
      <c r="I122" s="17"/>
      <c r="J122" s="39">
        <f t="shared" si="10"/>
        <v>0</v>
      </c>
      <c r="K122" s="40">
        <f t="shared" si="11"/>
        <v>0</v>
      </c>
      <c r="O122" s="49"/>
      <c r="P122" s="49"/>
    </row>
    <row r="123" spans="1:16" x14ac:dyDescent="0.35">
      <c r="A123" s="17"/>
      <c r="B123" s="15"/>
      <c r="C123" s="15"/>
      <c r="D123" s="15"/>
      <c r="E123" s="15"/>
      <c r="F123" s="34" t="s">
        <v>18</v>
      </c>
      <c r="G123" s="35" t="e">
        <f>#REF!</f>
        <v>#REF!</v>
      </c>
      <c r="H123" s="36">
        <v>2.1</v>
      </c>
      <c r="I123" s="17"/>
      <c r="J123" s="39">
        <f t="shared" si="10"/>
        <v>0</v>
      </c>
      <c r="K123" s="40">
        <f t="shared" si="11"/>
        <v>0</v>
      </c>
      <c r="O123" s="49"/>
      <c r="P123" s="49"/>
    </row>
    <row r="124" spans="1:16" x14ac:dyDescent="0.35">
      <c r="A124" s="17"/>
      <c r="B124" s="15"/>
      <c r="C124" s="15"/>
      <c r="D124" s="15"/>
      <c r="E124" s="15"/>
      <c r="F124" s="34" t="s">
        <v>99</v>
      </c>
      <c r="G124" s="35" t="e">
        <f>#REF!</f>
        <v>#REF!</v>
      </c>
      <c r="H124" s="36">
        <v>2.41</v>
      </c>
      <c r="I124" s="17"/>
      <c r="J124" s="39">
        <f t="shared" si="10"/>
        <v>0</v>
      </c>
      <c r="K124" s="40">
        <f t="shared" si="11"/>
        <v>0</v>
      </c>
      <c r="O124" s="49"/>
      <c r="P124" s="49"/>
    </row>
    <row r="125" spans="1:16" ht="20.149999999999999" customHeight="1" x14ac:dyDescent="0.35">
      <c r="A125" s="17"/>
      <c r="B125" s="15"/>
      <c r="C125" s="15"/>
      <c r="D125" s="15"/>
      <c r="E125" s="15"/>
      <c r="F125" s="34" t="s">
        <v>19</v>
      </c>
      <c r="G125" s="35" t="e">
        <f>#REF!</f>
        <v>#REF!</v>
      </c>
      <c r="H125" s="36">
        <v>2.5499999999999998</v>
      </c>
      <c r="I125" s="17"/>
      <c r="J125" s="39">
        <f t="shared" si="10"/>
        <v>0</v>
      </c>
      <c r="K125" s="40">
        <f t="shared" si="11"/>
        <v>0</v>
      </c>
    </row>
    <row r="126" spans="1:16" ht="20.149999999999999" customHeight="1" x14ac:dyDescent="0.35">
      <c r="A126" s="91" t="s">
        <v>117</v>
      </c>
      <c r="B126" s="92"/>
      <c r="C126" s="92"/>
      <c r="D126" s="92"/>
      <c r="E126" s="92"/>
      <c r="F126" s="92"/>
      <c r="G126" s="92"/>
      <c r="H126" s="92"/>
      <c r="I126" s="92"/>
      <c r="J126" s="92"/>
      <c r="K126" s="93"/>
    </row>
    <row r="127" spans="1:16" ht="20.149999999999999" customHeight="1" x14ac:dyDescent="0.35">
      <c r="A127" s="62"/>
      <c r="B127" s="15"/>
      <c r="C127" s="15"/>
      <c r="D127" s="15"/>
      <c r="E127" s="15"/>
      <c r="F127" s="34" t="s">
        <v>116</v>
      </c>
      <c r="G127" s="35" t="e">
        <f>#REF!</f>
        <v>#REF!</v>
      </c>
      <c r="H127" s="36">
        <v>2.7</v>
      </c>
      <c r="I127" s="17"/>
      <c r="J127" s="39">
        <f t="shared" ref="J127:J132" si="12">I127*H127</f>
        <v>0</v>
      </c>
      <c r="K127" s="40">
        <f t="shared" ref="K127:K135" si="13">(SUM(A127:E127))-I127</f>
        <v>0</v>
      </c>
    </row>
    <row r="128" spans="1:16" ht="20.149999999999999" customHeight="1" x14ac:dyDescent="0.35">
      <c r="A128" s="62"/>
      <c r="B128" s="15"/>
      <c r="C128" s="15"/>
      <c r="D128" s="15"/>
      <c r="E128" s="15"/>
      <c r="F128" s="34" t="s">
        <v>115</v>
      </c>
      <c r="G128" s="35" t="e">
        <f>#REF!</f>
        <v>#REF!</v>
      </c>
      <c r="H128" s="36">
        <v>3.12</v>
      </c>
      <c r="I128" s="17"/>
      <c r="J128" s="39">
        <f t="shared" si="12"/>
        <v>0</v>
      </c>
      <c r="K128" s="40">
        <f t="shared" si="13"/>
        <v>0</v>
      </c>
    </row>
    <row r="129" spans="1:11" ht="20.149999999999999" customHeight="1" x14ac:dyDescent="0.35">
      <c r="A129" s="62"/>
      <c r="B129" s="15"/>
      <c r="C129" s="15"/>
      <c r="D129" s="15"/>
      <c r="E129" s="15"/>
      <c r="F129" s="34" t="s">
        <v>114</v>
      </c>
      <c r="G129" s="35" t="e">
        <f>#REF!</f>
        <v>#REF!</v>
      </c>
      <c r="H129" s="36">
        <v>2.4900000000000002</v>
      </c>
      <c r="I129" s="17"/>
      <c r="J129" s="39">
        <f t="shared" si="12"/>
        <v>0</v>
      </c>
      <c r="K129" s="40">
        <f t="shared" si="13"/>
        <v>0</v>
      </c>
    </row>
    <row r="130" spans="1:11" ht="20.149999999999999" customHeight="1" x14ac:dyDescent="0.35">
      <c r="A130" s="62"/>
      <c r="B130" s="15"/>
      <c r="C130" s="15"/>
      <c r="D130" s="15"/>
      <c r="E130" s="15"/>
      <c r="F130" s="34" t="s">
        <v>109</v>
      </c>
      <c r="G130" s="35" t="e">
        <f>#REF!</f>
        <v>#REF!</v>
      </c>
      <c r="H130" s="36">
        <v>2.7</v>
      </c>
      <c r="I130" s="17"/>
      <c r="J130" s="39">
        <f t="shared" si="12"/>
        <v>0</v>
      </c>
      <c r="K130" s="40">
        <f t="shared" si="13"/>
        <v>0</v>
      </c>
    </row>
    <row r="131" spans="1:11" ht="20.149999999999999" customHeight="1" x14ac:dyDescent="0.35">
      <c r="A131" s="62"/>
      <c r="B131" s="15"/>
      <c r="C131" s="15"/>
      <c r="D131" s="15"/>
      <c r="E131" s="15"/>
      <c r="F131" s="34" t="s">
        <v>110</v>
      </c>
      <c r="G131" s="35" t="e">
        <f>#REF!</f>
        <v>#REF!</v>
      </c>
      <c r="H131" s="36">
        <v>2.7</v>
      </c>
      <c r="I131" s="17"/>
      <c r="J131" s="39">
        <f t="shared" si="12"/>
        <v>0</v>
      </c>
      <c r="K131" s="40">
        <f t="shared" si="13"/>
        <v>0</v>
      </c>
    </row>
    <row r="132" spans="1:11" ht="20.149999999999999" customHeight="1" x14ac:dyDescent="0.35">
      <c r="A132" s="62"/>
      <c r="B132" s="15"/>
      <c r="C132" s="15"/>
      <c r="D132" s="15"/>
      <c r="E132" s="15"/>
      <c r="F132" s="34" t="s">
        <v>111</v>
      </c>
      <c r="G132" s="35" t="e">
        <f>#REF!</f>
        <v>#REF!</v>
      </c>
      <c r="H132" s="36">
        <v>2.7</v>
      </c>
      <c r="I132" s="17"/>
      <c r="J132" s="39">
        <f t="shared" si="12"/>
        <v>0</v>
      </c>
      <c r="K132" s="40">
        <f t="shared" si="13"/>
        <v>0</v>
      </c>
    </row>
    <row r="133" spans="1:11" x14ac:dyDescent="0.35">
      <c r="A133" s="62"/>
      <c r="B133" s="15"/>
      <c r="C133" s="15"/>
      <c r="D133" s="15"/>
      <c r="E133" s="15"/>
      <c r="F133" s="34" t="s">
        <v>113</v>
      </c>
      <c r="G133" s="35" t="e">
        <f>#REF!</f>
        <v>#REF!</v>
      </c>
      <c r="H133" s="36">
        <v>2.33</v>
      </c>
      <c r="I133" s="17"/>
      <c r="J133" s="39">
        <v>0</v>
      </c>
      <c r="K133" s="40">
        <f t="shared" si="13"/>
        <v>0</v>
      </c>
    </row>
    <row r="134" spans="1:11" ht="20.149999999999999" customHeight="1" x14ac:dyDescent="0.35">
      <c r="A134" s="62"/>
      <c r="B134" s="15"/>
      <c r="C134" s="15"/>
      <c r="D134" s="15"/>
      <c r="E134" s="15"/>
      <c r="F134" s="34" t="s">
        <v>72</v>
      </c>
      <c r="G134" s="35" t="e">
        <f>#REF!</f>
        <v>#REF!</v>
      </c>
      <c r="H134" s="36">
        <v>3.24</v>
      </c>
      <c r="I134" s="17"/>
      <c r="J134" s="39">
        <f>I134*H134</f>
        <v>0</v>
      </c>
      <c r="K134" s="40">
        <f t="shared" si="13"/>
        <v>0</v>
      </c>
    </row>
    <row r="135" spans="1:11" ht="15" thickBot="1" x14ac:dyDescent="0.4">
      <c r="A135" s="62"/>
      <c r="B135" s="18"/>
      <c r="C135" s="18"/>
      <c r="D135" s="18"/>
      <c r="E135" s="18"/>
      <c r="F135" s="41" t="s">
        <v>112</v>
      </c>
      <c r="G135" s="42" t="e">
        <f>#REF!</f>
        <v>#REF!</v>
      </c>
      <c r="H135" s="43">
        <v>2.41</v>
      </c>
      <c r="I135" s="29"/>
      <c r="J135" s="44">
        <f>I135*H135</f>
        <v>0</v>
      </c>
      <c r="K135" s="45">
        <f t="shared" si="13"/>
        <v>0</v>
      </c>
    </row>
    <row r="136" spans="1:11" ht="15" customHeight="1" thickBot="1" x14ac:dyDescent="0.6">
      <c r="A136" s="84" t="s">
        <v>9</v>
      </c>
      <c r="B136" s="85"/>
      <c r="C136" s="85"/>
      <c r="D136" s="85"/>
      <c r="E136" s="85"/>
      <c r="F136" s="85"/>
      <c r="G136" s="85"/>
      <c r="H136" s="85"/>
      <c r="I136" s="86"/>
      <c r="J136" s="87">
        <v>1757.8899999999999</v>
      </c>
      <c r="K136" s="88"/>
    </row>
    <row r="137" spans="1:11" ht="24" thickBot="1" x14ac:dyDescent="0.6">
      <c r="A137" s="84" t="s">
        <v>21</v>
      </c>
      <c r="B137" s="85"/>
      <c r="C137" s="85"/>
      <c r="D137" s="85"/>
      <c r="E137" s="85"/>
      <c r="F137" s="85"/>
      <c r="G137" s="85"/>
      <c r="H137" s="85"/>
      <c r="I137" s="86"/>
      <c r="J137" s="89">
        <v>0</v>
      </c>
      <c r="K137" s="90"/>
    </row>
    <row r="138" spans="1:11" ht="24" thickBot="1" x14ac:dyDescent="0.6">
      <c r="A138" s="84" t="s">
        <v>55</v>
      </c>
      <c r="B138" s="85"/>
      <c r="C138" s="85"/>
      <c r="D138" s="85"/>
      <c r="E138" s="85"/>
      <c r="F138" s="85"/>
      <c r="G138" s="85"/>
      <c r="H138" s="85"/>
      <c r="I138" s="86"/>
      <c r="J138" s="89">
        <v>0</v>
      </c>
      <c r="K138" s="90"/>
    </row>
    <row r="139" spans="1:11" ht="24" thickBot="1" x14ac:dyDescent="0.6">
      <c r="A139" s="84" t="s">
        <v>11</v>
      </c>
      <c r="B139" s="85"/>
      <c r="C139" s="85"/>
      <c r="D139" s="85"/>
      <c r="E139" s="85"/>
      <c r="F139" s="85"/>
      <c r="G139" s="85"/>
      <c r="H139" s="85"/>
      <c r="I139" s="86"/>
      <c r="J139" s="87">
        <f>SUM(J110:J135)</f>
        <v>0</v>
      </c>
      <c r="K139" s="88"/>
    </row>
    <row r="140" spans="1:11" ht="20.149999999999999" customHeight="1" thickBot="1" x14ac:dyDescent="0.6">
      <c r="A140" s="84" t="s">
        <v>22</v>
      </c>
      <c r="B140" s="85"/>
      <c r="C140" s="85"/>
      <c r="D140" s="85"/>
      <c r="E140" s="85"/>
      <c r="F140" s="85"/>
      <c r="G140" s="85"/>
      <c r="H140" s="85"/>
      <c r="I140" s="86"/>
      <c r="J140" s="89">
        <v>1739.25</v>
      </c>
      <c r="K140" s="90"/>
    </row>
    <row r="141" spans="1:11" ht="20.149999999999999" customHeight="1" thickBot="1" x14ac:dyDescent="0.6">
      <c r="A141" s="84" t="s">
        <v>23</v>
      </c>
      <c r="B141" s="85"/>
      <c r="C141" s="85"/>
      <c r="D141" s="85"/>
      <c r="E141" s="85"/>
      <c r="F141" s="85"/>
      <c r="G141" s="85"/>
      <c r="H141" s="85"/>
      <c r="I141" s="86"/>
      <c r="J141" s="87">
        <f>J136+J137+J138-J139</f>
        <v>1757.8899999999999</v>
      </c>
      <c r="K141" s="88"/>
    </row>
    <row r="142" spans="1:11" ht="20.149999999999999" customHeight="1" thickBot="1" x14ac:dyDescent="0.6">
      <c r="A142" s="109" t="s">
        <v>24</v>
      </c>
      <c r="B142" s="110"/>
      <c r="C142" s="110"/>
      <c r="D142" s="110"/>
      <c r="E142" s="110"/>
      <c r="F142" s="110"/>
      <c r="G142" s="110"/>
      <c r="H142" s="110"/>
      <c r="I142" s="111"/>
      <c r="J142" s="112">
        <f>J141/J140</f>
        <v>1.0107172631881558</v>
      </c>
      <c r="K142" s="113"/>
    </row>
    <row r="143" spans="1:11" ht="20.149999999999999" customHeight="1" thickBot="1" x14ac:dyDescent="0.6">
      <c r="A143" s="109" t="s">
        <v>56</v>
      </c>
      <c r="B143" s="110"/>
      <c r="C143" s="110"/>
      <c r="D143" s="110"/>
      <c r="E143" s="110"/>
      <c r="F143" s="110"/>
      <c r="G143" s="110"/>
      <c r="H143" s="110"/>
      <c r="I143" s="111"/>
      <c r="J143" s="112">
        <f>((G224+G225+G227-J139)/G226)</f>
        <v>1.0107172631881558</v>
      </c>
      <c r="K143" s="113"/>
    </row>
    <row r="144" spans="1:11" ht="20.149999999999999" customHeight="1" x14ac:dyDescent="0.35">
      <c r="A144" s="145" t="s">
        <v>0</v>
      </c>
      <c r="B144" s="147" t="s">
        <v>1</v>
      </c>
      <c r="C144" s="148"/>
      <c r="D144" s="148"/>
      <c r="E144" s="149"/>
      <c r="F144" s="102" t="s">
        <v>2</v>
      </c>
      <c r="G144" s="120" t="s">
        <v>66</v>
      </c>
      <c r="H144" s="102" t="s">
        <v>4</v>
      </c>
      <c r="I144" s="102" t="s">
        <v>5</v>
      </c>
      <c r="J144" s="102" t="s">
        <v>6</v>
      </c>
      <c r="K144" s="104" t="s">
        <v>7</v>
      </c>
    </row>
    <row r="145" spans="1:11" ht="20.149999999999999" customHeight="1" x14ac:dyDescent="0.35">
      <c r="A145" s="146"/>
      <c r="B145" s="27">
        <v>1</v>
      </c>
      <c r="C145" s="27">
        <v>2</v>
      </c>
      <c r="D145" s="27">
        <v>3</v>
      </c>
      <c r="E145" s="27">
        <v>4</v>
      </c>
      <c r="F145" s="103"/>
      <c r="G145" s="121"/>
      <c r="H145" s="103"/>
      <c r="I145" s="103"/>
      <c r="J145" s="103"/>
      <c r="K145" s="105"/>
    </row>
    <row r="146" spans="1:11" ht="20.149999999999999" customHeight="1" x14ac:dyDescent="0.55000000000000004">
      <c r="A146" s="106" t="s">
        <v>61</v>
      </c>
      <c r="B146" s="107"/>
      <c r="C146" s="107"/>
      <c r="D146" s="107"/>
      <c r="E146" s="107"/>
      <c r="F146" s="107"/>
      <c r="G146" s="107"/>
      <c r="H146" s="107"/>
      <c r="I146" s="107"/>
      <c r="J146" s="107"/>
      <c r="K146" s="108"/>
    </row>
    <row r="147" spans="1:11" ht="20.149999999999999" customHeight="1" x14ac:dyDescent="0.35">
      <c r="A147" s="62"/>
      <c r="B147" s="14"/>
      <c r="C147" s="14"/>
      <c r="D147" s="14"/>
      <c r="E147" s="14"/>
      <c r="F147" s="34" t="s">
        <v>121</v>
      </c>
      <c r="G147" s="35" t="e">
        <f>#REF!</f>
        <v>#REF!</v>
      </c>
      <c r="H147" s="36"/>
      <c r="I147" s="28">
        <v>0</v>
      </c>
      <c r="J147" s="39" t="e">
        <f>(I147/G147)*H147</f>
        <v>#REF!</v>
      </c>
      <c r="K147" s="40">
        <f>(SUM(A147:E147))-I147</f>
        <v>0</v>
      </c>
    </row>
    <row r="148" spans="1:11" x14ac:dyDescent="0.35">
      <c r="A148" s="30"/>
      <c r="B148" s="14"/>
      <c r="C148" s="14"/>
      <c r="D148" s="14"/>
      <c r="E148" s="14"/>
      <c r="F148" s="34" t="s">
        <v>116</v>
      </c>
      <c r="G148" s="35">
        <v>179.99</v>
      </c>
      <c r="H148" s="36"/>
      <c r="I148" s="28">
        <v>0</v>
      </c>
      <c r="J148" s="39">
        <f>(I148/G148)*H148</f>
        <v>0</v>
      </c>
      <c r="K148" s="40">
        <f>(SUM(A148:E148))-I148</f>
        <v>0</v>
      </c>
    </row>
    <row r="149" spans="1:11" x14ac:dyDescent="0.35">
      <c r="A149" s="30"/>
      <c r="B149" s="14"/>
      <c r="C149" s="14"/>
      <c r="D149" s="14"/>
      <c r="E149" s="14"/>
      <c r="F149" s="34" t="s">
        <v>20</v>
      </c>
      <c r="G149" s="35" t="e">
        <f>#REF!</f>
        <v>#REF!</v>
      </c>
      <c r="H149" s="36"/>
      <c r="I149" s="28">
        <v>0</v>
      </c>
      <c r="J149" s="39" t="e">
        <f>(I149/G149)*H149</f>
        <v>#REF!</v>
      </c>
      <c r="K149" s="40">
        <f>(SUM(A149:E149))-I149</f>
        <v>0</v>
      </c>
    </row>
    <row r="150" spans="1:11" ht="15" thickBot="1" x14ac:dyDescent="0.4">
      <c r="A150" s="30"/>
      <c r="B150" s="14"/>
      <c r="C150" s="14"/>
      <c r="D150" s="14"/>
      <c r="E150" s="14"/>
      <c r="F150" s="34" t="e">
        <f>#REF!</f>
        <v>#REF!</v>
      </c>
      <c r="G150" s="35" t="e">
        <f>#REF!</f>
        <v>#REF!</v>
      </c>
      <c r="H150" s="36" t="e">
        <f>#REF!</f>
        <v>#REF!</v>
      </c>
      <c r="I150" s="28">
        <v>0</v>
      </c>
      <c r="J150" s="39" t="e">
        <f>(I150/G150)*H150</f>
        <v>#REF!</v>
      </c>
      <c r="K150" s="40">
        <f>(SUM(A150:E150))-I150</f>
        <v>0</v>
      </c>
    </row>
    <row r="151" spans="1:11" ht="15" customHeight="1" thickBot="1" x14ac:dyDescent="0.6">
      <c r="A151" s="84" t="s">
        <v>9</v>
      </c>
      <c r="B151" s="85"/>
      <c r="C151" s="85"/>
      <c r="D151" s="85"/>
      <c r="E151" s="85"/>
      <c r="F151" s="85"/>
      <c r="G151" s="85"/>
      <c r="H151" s="85"/>
      <c r="I151" s="86"/>
      <c r="J151" s="87">
        <v>436.28818840579714</v>
      </c>
      <c r="K151" s="88"/>
    </row>
    <row r="152" spans="1:11" ht="24" thickBot="1" x14ac:dyDescent="0.6">
      <c r="A152" s="84" t="s">
        <v>62</v>
      </c>
      <c r="B152" s="85"/>
      <c r="C152" s="85"/>
      <c r="D152" s="85"/>
      <c r="E152" s="85"/>
      <c r="F152" s="85"/>
      <c r="G152" s="85"/>
      <c r="H152" s="85"/>
      <c r="I152" s="86"/>
      <c r="J152" s="89">
        <v>0</v>
      </c>
      <c r="K152" s="90"/>
    </row>
    <row r="153" spans="1:11" ht="15" customHeight="1" thickBot="1" x14ac:dyDescent="0.6">
      <c r="A153" s="84" t="s">
        <v>55</v>
      </c>
      <c r="B153" s="85"/>
      <c r="C153" s="85"/>
      <c r="D153" s="85"/>
      <c r="E153" s="85"/>
      <c r="F153" s="85"/>
      <c r="G153" s="85"/>
      <c r="H153" s="85"/>
      <c r="I153" s="86"/>
      <c r="J153" s="89">
        <v>0</v>
      </c>
      <c r="K153" s="90"/>
    </row>
    <row r="154" spans="1:11" ht="24" thickBot="1" x14ac:dyDescent="0.6">
      <c r="A154" s="84" t="s">
        <v>11</v>
      </c>
      <c r="B154" s="85"/>
      <c r="C154" s="85"/>
      <c r="D154" s="85"/>
      <c r="E154" s="85"/>
      <c r="F154" s="85"/>
      <c r="G154" s="85"/>
      <c r="H154" s="85"/>
      <c r="I154" s="86"/>
      <c r="J154" s="87" t="e">
        <f>J147+J148+J149</f>
        <v>#REF!</v>
      </c>
      <c r="K154" s="88"/>
    </row>
    <row r="155" spans="1:11" ht="24" thickBot="1" x14ac:dyDescent="0.6">
      <c r="A155" s="84" t="s">
        <v>63</v>
      </c>
      <c r="B155" s="85"/>
      <c r="C155" s="85"/>
      <c r="D155" s="85"/>
      <c r="E155" s="85"/>
      <c r="F155" s="85"/>
      <c r="G155" s="85"/>
      <c r="H155" s="85"/>
      <c r="I155" s="86"/>
      <c r="J155" s="89">
        <v>599.5</v>
      </c>
      <c r="K155" s="90"/>
    </row>
    <row r="156" spans="1:11" ht="24" thickBot="1" x14ac:dyDescent="0.6">
      <c r="A156" s="84" t="s">
        <v>64</v>
      </c>
      <c r="B156" s="85"/>
      <c r="C156" s="85"/>
      <c r="D156" s="85"/>
      <c r="E156" s="85"/>
      <c r="F156" s="85"/>
      <c r="G156" s="85"/>
      <c r="H156" s="85"/>
      <c r="I156" s="86"/>
      <c r="J156" s="87" t="e">
        <f>J151+J152+J153-J154</f>
        <v>#REF!</v>
      </c>
      <c r="K156" s="88"/>
    </row>
    <row r="157" spans="1:11" ht="24" thickBot="1" x14ac:dyDescent="0.6">
      <c r="A157" s="109" t="s">
        <v>65</v>
      </c>
      <c r="B157" s="110"/>
      <c r="C157" s="110"/>
      <c r="D157" s="110"/>
      <c r="E157" s="110"/>
      <c r="F157" s="110"/>
      <c r="G157" s="110"/>
      <c r="H157" s="110"/>
      <c r="I157" s="111"/>
      <c r="J157" s="112" t="e">
        <f>J156/J155</f>
        <v>#REF!</v>
      </c>
      <c r="K157" s="113"/>
    </row>
    <row r="158" spans="1:11" ht="24" thickBot="1" x14ac:dyDescent="0.6">
      <c r="A158" s="109" t="s">
        <v>56</v>
      </c>
      <c r="B158" s="110"/>
      <c r="C158" s="110"/>
      <c r="D158" s="110"/>
      <c r="E158" s="110"/>
      <c r="F158" s="110"/>
      <c r="G158" s="110"/>
      <c r="H158" s="110"/>
      <c r="I158" s="111"/>
      <c r="J158" s="112">
        <f>((G224+G225+G227-J139)/G226)</f>
        <v>1.0107172631881558</v>
      </c>
      <c r="K158" s="113"/>
    </row>
    <row r="159" spans="1:11" x14ac:dyDescent="0.35">
      <c r="A159" s="145" t="s">
        <v>0</v>
      </c>
      <c r="B159" s="147" t="s">
        <v>1</v>
      </c>
      <c r="C159" s="148"/>
      <c r="D159" s="148"/>
      <c r="E159" s="149"/>
      <c r="F159" s="102" t="s">
        <v>2</v>
      </c>
      <c r="G159" s="120" t="s">
        <v>53</v>
      </c>
      <c r="H159" s="102" t="s">
        <v>4</v>
      </c>
      <c r="I159" s="102" t="s">
        <v>5</v>
      </c>
      <c r="J159" s="102" t="s">
        <v>6</v>
      </c>
      <c r="K159" s="104" t="s">
        <v>7</v>
      </c>
    </row>
    <row r="160" spans="1:11" ht="15" thickBot="1" x14ac:dyDescent="0.4">
      <c r="A160" s="158"/>
      <c r="B160" s="27">
        <v>1</v>
      </c>
      <c r="C160" s="27">
        <v>2</v>
      </c>
      <c r="D160" s="27">
        <v>3</v>
      </c>
      <c r="E160" s="27">
        <v>4</v>
      </c>
      <c r="F160" s="150"/>
      <c r="G160" s="159"/>
      <c r="H160" s="150"/>
      <c r="I160" s="150"/>
      <c r="J160" s="150"/>
      <c r="K160" s="151"/>
    </row>
    <row r="161" spans="1:11" ht="24" thickBot="1" x14ac:dyDescent="0.6">
      <c r="A161" s="152" t="s">
        <v>25</v>
      </c>
      <c r="B161" s="153"/>
      <c r="C161" s="153"/>
      <c r="D161" s="153"/>
      <c r="E161" s="153"/>
      <c r="F161" s="153"/>
      <c r="G161" s="153"/>
      <c r="H161" s="153"/>
      <c r="I161" s="153"/>
      <c r="J161" s="153"/>
      <c r="K161" s="154"/>
    </row>
    <row r="162" spans="1:11" x14ac:dyDescent="0.35">
      <c r="A162" s="17"/>
      <c r="B162" s="14"/>
      <c r="C162" s="14"/>
      <c r="D162" s="14"/>
      <c r="E162" s="14"/>
      <c r="F162" s="34" t="s">
        <v>174</v>
      </c>
      <c r="G162" s="35">
        <v>147</v>
      </c>
      <c r="H162" s="36"/>
      <c r="I162" s="28"/>
      <c r="J162" s="37">
        <f>IF(G162=0,0,(I162/G162)*H162)</f>
        <v>0</v>
      </c>
      <c r="K162" s="38">
        <f>IF(G162=0,0,(((SUM(A162:E162)/G162)-(I162/G162))*26))</f>
        <v>0</v>
      </c>
    </row>
    <row r="163" spans="1:11" x14ac:dyDescent="0.35">
      <c r="A163" s="17"/>
      <c r="B163" s="15"/>
      <c r="C163" s="15"/>
      <c r="D163" s="15"/>
      <c r="E163" s="15"/>
      <c r="F163" s="34" t="s">
        <v>197</v>
      </c>
      <c r="G163" s="35" t="e">
        <f>#REF!</f>
        <v>#REF!</v>
      </c>
      <c r="H163" s="36"/>
      <c r="I163" s="17"/>
      <c r="J163" s="37" t="e">
        <f t="shared" ref="J163:J180" si="14">IF(G163=0,0,(I163/G163)*H163)</f>
        <v>#REF!</v>
      </c>
      <c r="K163" s="38" t="e">
        <f>IF(G163=0,0,(((SUM(A163:E163)/G163)-(I163/G163))*52))</f>
        <v>#REF!</v>
      </c>
    </row>
    <row r="164" spans="1:11" x14ac:dyDescent="0.35">
      <c r="A164" s="17"/>
      <c r="B164" s="15"/>
      <c r="C164" s="15"/>
      <c r="D164" s="15"/>
      <c r="E164" s="15"/>
      <c r="F164" s="34" t="s">
        <v>199</v>
      </c>
      <c r="G164" s="35" t="e">
        <f>#REF!</f>
        <v>#REF!</v>
      </c>
      <c r="H164" s="36"/>
      <c r="I164" s="17"/>
      <c r="J164" s="37" t="e">
        <f t="shared" si="14"/>
        <v>#REF!</v>
      </c>
      <c r="K164" s="38" t="e">
        <f t="shared" ref="K164:K170" si="15">IF(G164=0,0,(((SUM(A164:E164)/G164)-(I164/G164))*26))</f>
        <v>#REF!</v>
      </c>
    </row>
    <row r="165" spans="1:11" x14ac:dyDescent="0.35">
      <c r="A165" s="17"/>
      <c r="B165" s="15"/>
      <c r="C165" s="15"/>
      <c r="D165" s="15"/>
      <c r="E165" s="15"/>
      <c r="F165" s="34" t="s">
        <v>201</v>
      </c>
      <c r="G165" s="35" t="e">
        <f>#REF!</f>
        <v>#REF!</v>
      </c>
      <c r="H165" s="36"/>
      <c r="I165" s="17"/>
      <c r="J165" s="37" t="e">
        <f t="shared" si="14"/>
        <v>#REF!</v>
      </c>
      <c r="K165" s="38" t="e">
        <f>IF(G165=0,0,(((SUM(A165:E165)/G165)-(I165/G165))*52))</f>
        <v>#REF!</v>
      </c>
    </row>
    <row r="166" spans="1:11" x14ac:dyDescent="0.35">
      <c r="A166" s="29"/>
      <c r="B166" s="18"/>
      <c r="C166" s="18"/>
      <c r="D166" s="18"/>
      <c r="E166" s="18"/>
      <c r="F166" s="34" t="s">
        <v>202</v>
      </c>
      <c r="G166" s="35" t="e">
        <f>#REF!</f>
        <v>#REF!</v>
      </c>
      <c r="H166" s="36"/>
      <c r="I166" s="29"/>
      <c r="J166" s="37" t="e">
        <f t="shared" si="14"/>
        <v>#REF!</v>
      </c>
      <c r="K166" s="38" t="e">
        <f t="shared" si="15"/>
        <v>#REF!</v>
      </c>
    </row>
    <row r="167" spans="1:11" x14ac:dyDescent="0.35">
      <c r="A167" s="29"/>
      <c r="B167" s="18"/>
      <c r="C167" s="18"/>
      <c r="D167" s="18"/>
      <c r="E167" s="18"/>
      <c r="F167" s="34" t="s">
        <v>198</v>
      </c>
      <c r="G167" s="35" t="e">
        <f>#REF!</f>
        <v>#REF!</v>
      </c>
      <c r="H167" s="36"/>
      <c r="I167" s="29"/>
      <c r="J167" s="37" t="e">
        <f t="shared" si="14"/>
        <v>#REF!</v>
      </c>
      <c r="K167" s="38" t="e">
        <f>IF(G167=0,0,(((SUM(A167:E167)/G167)-(I167/G167))*52))</f>
        <v>#REF!</v>
      </c>
    </row>
    <row r="168" spans="1:11" x14ac:dyDescent="0.35">
      <c r="A168" s="29"/>
      <c r="B168" s="18"/>
      <c r="C168" s="18"/>
      <c r="D168" s="18"/>
      <c r="E168" s="18"/>
      <c r="F168" s="34" t="s">
        <v>200</v>
      </c>
      <c r="G168" s="35" t="e">
        <f>#REF!</f>
        <v>#REF!</v>
      </c>
      <c r="H168" s="36"/>
      <c r="I168" s="29"/>
      <c r="J168" s="37" t="e">
        <f t="shared" si="14"/>
        <v>#REF!</v>
      </c>
      <c r="K168" s="38" t="e">
        <f t="shared" si="15"/>
        <v>#REF!</v>
      </c>
    </row>
    <row r="169" spans="1:11" x14ac:dyDescent="0.35">
      <c r="A169" s="29"/>
      <c r="B169" s="18"/>
      <c r="C169" s="18"/>
      <c r="D169" s="18"/>
      <c r="E169" s="18"/>
      <c r="F169" s="34" t="s">
        <v>206</v>
      </c>
      <c r="G169" s="35" t="e">
        <f>#REF!</f>
        <v>#REF!</v>
      </c>
      <c r="H169" s="36"/>
      <c r="I169" s="29"/>
      <c r="J169" s="37" t="e">
        <f t="shared" si="14"/>
        <v>#REF!</v>
      </c>
      <c r="K169" s="38" t="e">
        <f>IF(G169=0,0,(((SUM(A169:E169)/G169)-(I169/G169))*52))</f>
        <v>#REF!</v>
      </c>
    </row>
    <row r="170" spans="1:11" x14ac:dyDescent="0.35">
      <c r="A170" s="29"/>
      <c r="B170" s="18"/>
      <c r="C170" s="18"/>
      <c r="D170" s="18"/>
      <c r="E170" s="18"/>
      <c r="F170" s="34" t="s">
        <v>207</v>
      </c>
      <c r="G170" s="35" t="e">
        <f>#REF!</f>
        <v>#REF!</v>
      </c>
      <c r="H170" s="36"/>
      <c r="I170" s="29"/>
      <c r="J170" s="37" t="e">
        <f t="shared" si="14"/>
        <v>#REF!</v>
      </c>
      <c r="K170" s="38" t="e">
        <f t="shared" si="15"/>
        <v>#REF!</v>
      </c>
    </row>
    <row r="171" spans="1:11" x14ac:dyDescent="0.35">
      <c r="A171" s="29"/>
      <c r="B171" s="18"/>
      <c r="C171" s="18"/>
      <c r="D171" s="18"/>
      <c r="E171" s="18"/>
      <c r="F171" s="34" t="s">
        <v>211</v>
      </c>
      <c r="G171" s="35"/>
      <c r="H171" s="36"/>
      <c r="I171" s="29"/>
      <c r="J171" s="37">
        <f t="shared" si="14"/>
        <v>0</v>
      </c>
      <c r="K171" s="38">
        <f>IF(G171=0,0,(((SUM(A171:E171)/G171)-(I171/G171))*52))</f>
        <v>0</v>
      </c>
    </row>
    <row r="172" spans="1:11" x14ac:dyDescent="0.35">
      <c r="A172" s="29"/>
      <c r="B172" s="18"/>
      <c r="C172" s="18"/>
      <c r="D172" s="18"/>
      <c r="E172" s="18"/>
      <c r="F172" s="34" t="s">
        <v>212</v>
      </c>
      <c r="G172" s="35">
        <v>40.950000000000003</v>
      </c>
      <c r="H172" s="36"/>
      <c r="I172" s="29"/>
      <c r="J172" s="37">
        <f t="shared" si="14"/>
        <v>0</v>
      </c>
      <c r="K172" s="38">
        <f t="shared" ref="K172:K180" si="16">IF(G172=0,0,(((SUM(A172:E172)/G172)-(I172/G172))*52))</f>
        <v>0</v>
      </c>
    </row>
    <row r="173" spans="1:11" x14ac:dyDescent="0.35">
      <c r="A173" s="29"/>
      <c r="B173" s="18"/>
      <c r="C173" s="18"/>
      <c r="D173" s="18"/>
      <c r="E173" s="18"/>
      <c r="F173" s="34" t="s">
        <v>211</v>
      </c>
      <c r="G173" s="35">
        <v>40.950000000000003</v>
      </c>
      <c r="H173" s="36"/>
      <c r="I173" s="29"/>
      <c r="J173" s="37">
        <f t="shared" si="14"/>
        <v>0</v>
      </c>
      <c r="K173" s="38">
        <f t="shared" si="16"/>
        <v>0</v>
      </c>
    </row>
    <row r="174" spans="1:11" x14ac:dyDescent="0.35">
      <c r="A174" s="29"/>
      <c r="B174" s="18"/>
      <c r="C174" s="18"/>
      <c r="D174" s="18"/>
      <c r="E174" s="18"/>
      <c r="F174" s="34"/>
      <c r="G174" s="35" t="e">
        <f>#REF!</f>
        <v>#REF!</v>
      </c>
      <c r="H174" s="36"/>
      <c r="I174" s="29"/>
      <c r="J174" s="37" t="e">
        <f t="shared" si="14"/>
        <v>#REF!</v>
      </c>
      <c r="K174" s="38" t="e">
        <f t="shared" si="16"/>
        <v>#REF!</v>
      </c>
    </row>
    <row r="175" spans="1:11" ht="24" customHeight="1" x14ac:dyDescent="0.35">
      <c r="A175" s="29"/>
      <c r="B175" s="18"/>
      <c r="C175" s="18"/>
      <c r="D175" s="18"/>
      <c r="E175" s="18"/>
      <c r="F175" s="34" t="e">
        <f>#REF!</f>
        <v>#REF!</v>
      </c>
      <c r="G175" s="35" t="e">
        <f>#REF!</f>
        <v>#REF!</v>
      </c>
      <c r="H175" s="36"/>
      <c r="I175" s="29"/>
      <c r="J175" s="37" t="e">
        <f t="shared" si="14"/>
        <v>#REF!</v>
      </c>
      <c r="K175" s="38" t="e">
        <f t="shared" si="16"/>
        <v>#REF!</v>
      </c>
    </row>
    <row r="176" spans="1:11" ht="19.5" customHeight="1" x14ac:dyDescent="0.35">
      <c r="A176" s="29"/>
      <c r="B176" s="18"/>
      <c r="C176" s="18"/>
      <c r="D176" s="18"/>
      <c r="E176" s="18"/>
      <c r="F176" s="34" t="e">
        <f>#REF!</f>
        <v>#REF!</v>
      </c>
      <c r="G176" s="35" t="e">
        <f>#REF!</f>
        <v>#REF!</v>
      </c>
      <c r="H176" s="36"/>
      <c r="I176" s="29"/>
      <c r="J176" s="37" t="e">
        <f t="shared" si="14"/>
        <v>#REF!</v>
      </c>
      <c r="K176" s="38" t="e">
        <f t="shared" si="16"/>
        <v>#REF!</v>
      </c>
    </row>
    <row r="177" spans="1:11" ht="19.5" customHeight="1" x14ac:dyDescent="0.35">
      <c r="A177" s="29"/>
      <c r="B177" s="18"/>
      <c r="C177" s="18"/>
      <c r="D177" s="18"/>
      <c r="E177" s="18"/>
      <c r="F177" s="34"/>
      <c r="G177" s="35" t="e">
        <f>#REF!</f>
        <v>#REF!</v>
      </c>
      <c r="H177" s="36" t="e">
        <f>#REF!</f>
        <v>#REF!</v>
      </c>
      <c r="I177" s="29"/>
      <c r="J177" s="37" t="e">
        <f t="shared" si="14"/>
        <v>#REF!</v>
      </c>
      <c r="K177" s="38" t="e">
        <f t="shared" si="16"/>
        <v>#REF!</v>
      </c>
    </row>
    <row r="178" spans="1:11" ht="19.5" customHeight="1" x14ac:dyDescent="0.35">
      <c r="A178" s="29"/>
      <c r="B178" s="18"/>
      <c r="C178" s="18"/>
      <c r="D178" s="18"/>
      <c r="E178" s="18"/>
      <c r="F178" s="34"/>
      <c r="G178" s="35" t="e">
        <f>#REF!</f>
        <v>#REF!</v>
      </c>
      <c r="H178" s="36" t="e">
        <f>#REF!</f>
        <v>#REF!</v>
      </c>
      <c r="I178" s="29"/>
      <c r="J178" s="37" t="e">
        <f t="shared" si="14"/>
        <v>#REF!</v>
      </c>
      <c r="K178" s="38" t="e">
        <f t="shared" si="16"/>
        <v>#REF!</v>
      </c>
    </row>
    <row r="179" spans="1:11" ht="19.5" customHeight="1" x14ac:dyDescent="0.35">
      <c r="A179" s="29"/>
      <c r="B179" s="18"/>
      <c r="C179" s="18"/>
      <c r="D179" s="18"/>
      <c r="E179" s="18"/>
      <c r="F179" s="34"/>
      <c r="G179" s="35" t="e">
        <f>#REF!</f>
        <v>#REF!</v>
      </c>
      <c r="H179" s="36" t="e">
        <f>#REF!</f>
        <v>#REF!</v>
      </c>
      <c r="I179" s="29"/>
      <c r="J179" s="37" t="e">
        <f t="shared" si="14"/>
        <v>#REF!</v>
      </c>
      <c r="K179" s="38" t="e">
        <f t="shared" si="16"/>
        <v>#REF!</v>
      </c>
    </row>
    <row r="180" spans="1:11" ht="15" customHeight="1" thickBot="1" x14ac:dyDescent="0.4">
      <c r="A180" s="29"/>
      <c r="B180" s="18"/>
      <c r="C180" s="18"/>
      <c r="D180" s="18"/>
      <c r="E180" s="18"/>
      <c r="F180" s="34"/>
      <c r="G180" s="35" t="e">
        <f>#REF!</f>
        <v>#REF!</v>
      </c>
      <c r="H180" s="36" t="e">
        <f>#REF!</f>
        <v>#REF!</v>
      </c>
      <c r="I180" s="29"/>
      <c r="J180" s="37" t="e">
        <f t="shared" si="14"/>
        <v>#REF!</v>
      </c>
      <c r="K180" s="38" t="e">
        <f t="shared" si="16"/>
        <v>#REF!</v>
      </c>
    </row>
    <row r="181" spans="1:11" ht="15" customHeight="1" thickBot="1" x14ac:dyDescent="0.6">
      <c r="A181" s="155" t="s">
        <v>26</v>
      </c>
      <c r="B181" s="156"/>
      <c r="C181" s="156"/>
      <c r="D181" s="156"/>
      <c r="E181" s="156"/>
      <c r="F181" s="156"/>
      <c r="G181" s="156"/>
      <c r="H181" s="156"/>
      <c r="I181" s="156"/>
      <c r="J181" s="156"/>
      <c r="K181" s="157"/>
    </row>
    <row r="182" spans="1:11" ht="15" customHeight="1" x14ac:dyDescent="0.35">
      <c r="A182" s="24"/>
      <c r="B182" s="52"/>
      <c r="C182" s="52"/>
      <c r="D182" s="52"/>
      <c r="E182" s="52"/>
      <c r="F182" s="66" t="s">
        <v>203</v>
      </c>
      <c r="G182" s="67" t="e">
        <f>#REF!</f>
        <v>#REF!</v>
      </c>
      <c r="H182" s="68"/>
      <c r="I182" s="24"/>
      <c r="J182" s="69" t="e">
        <f>IF(G182=0,0,(I182/G182)*H182)</f>
        <v>#REF!</v>
      </c>
      <c r="K182" s="70" t="e">
        <f>IF(G182=0,0,(((SUM(A182:E182)/G182)-(I182/G182))*26))</f>
        <v>#REF!</v>
      </c>
    </row>
    <row r="183" spans="1:11" ht="15" customHeight="1" x14ac:dyDescent="0.35">
      <c r="A183" s="17"/>
      <c r="B183" s="15"/>
      <c r="C183" s="15"/>
      <c r="D183" s="15"/>
      <c r="E183" s="15"/>
      <c r="F183" s="63" t="s">
        <v>210</v>
      </c>
      <c r="G183" s="64"/>
      <c r="H183" s="65"/>
      <c r="I183" s="17"/>
      <c r="J183" s="39">
        <f t="shared" ref="J183:J198" si="17">IF(G183=0,0,(I183/G183)*H183)</f>
        <v>0</v>
      </c>
      <c r="K183" s="40">
        <f>IF(G183=0,0,(((SUM(A183:E183)/G183)-(I183/G183))*52))</f>
        <v>0</v>
      </c>
    </row>
    <row r="184" spans="1:11" ht="15" customHeight="1" x14ac:dyDescent="0.35">
      <c r="A184" s="17"/>
      <c r="B184" s="15"/>
      <c r="C184" s="15"/>
      <c r="D184" s="15"/>
      <c r="E184" s="15"/>
      <c r="F184" s="63" t="s">
        <v>204</v>
      </c>
      <c r="G184" s="64" t="e">
        <f>#REF!</f>
        <v>#REF!</v>
      </c>
      <c r="H184" s="65"/>
      <c r="I184" s="17"/>
      <c r="J184" s="39" t="e">
        <f t="shared" si="17"/>
        <v>#REF!</v>
      </c>
      <c r="K184" s="40" t="e">
        <f t="shared" ref="K184:K189" si="18">IF(G184=0,0,(((SUM(A184:E184)/G184)-(I184/G184))*26))</f>
        <v>#REF!</v>
      </c>
    </row>
    <row r="185" spans="1:11" ht="15" customHeight="1" x14ac:dyDescent="0.35">
      <c r="A185" s="17"/>
      <c r="B185" s="15"/>
      <c r="C185" s="15"/>
      <c r="D185" s="15"/>
      <c r="E185" s="15"/>
      <c r="F185" s="63" t="s">
        <v>164</v>
      </c>
      <c r="G185" s="64" t="e">
        <f>#REF!</f>
        <v>#REF!</v>
      </c>
      <c r="H185" s="65"/>
      <c r="I185" s="17"/>
      <c r="J185" s="39" t="e">
        <f t="shared" si="17"/>
        <v>#REF!</v>
      </c>
      <c r="K185" s="40" t="e">
        <f>IF(G185=0,0,(((SUM(A185:E185)/G185)-(I185/G185))*52))</f>
        <v>#REF!</v>
      </c>
    </row>
    <row r="186" spans="1:11" ht="15" customHeight="1" x14ac:dyDescent="0.35">
      <c r="A186" s="17"/>
      <c r="B186" s="15"/>
      <c r="C186" s="15"/>
      <c r="D186" s="15"/>
      <c r="E186" s="15"/>
      <c r="F186" s="63" t="s">
        <v>205</v>
      </c>
      <c r="G186" s="64" t="e">
        <f>#REF!</f>
        <v>#REF!</v>
      </c>
      <c r="H186" s="65"/>
      <c r="I186" s="17"/>
      <c r="J186" s="39" t="e">
        <f t="shared" si="17"/>
        <v>#REF!</v>
      </c>
      <c r="K186" s="40" t="e">
        <f>IF(G186=0,0,(((SUM(A186:E186)/G186)-(I186/G186))*52))</f>
        <v>#REF!</v>
      </c>
    </row>
    <row r="187" spans="1:11" ht="15" customHeight="1" x14ac:dyDescent="0.35">
      <c r="A187" s="17"/>
      <c r="B187" s="15"/>
      <c r="C187" s="15"/>
      <c r="D187" s="15"/>
      <c r="E187" s="15"/>
      <c r="F187" s="63" t="s">
        <v>209</v>
      </c>
      <c r="G187" s="64" t="e">
        <f>#REF!</f>
        <v>#REF!</v>
      </c>
      <c r="H187" s="65"/>
      <c r="I187" s="17"/>
      <c r="J187" s="39" t="e">
        <f t="shared" si="17"/>
        <v>#REF!</v>
      </c>
      <c r="K187" s="40" t="e">
        <f t="shared" si="18"/>
        <v>#REF!</v>
      </c>
    </row>
    <row r="188" spans="1:11" ht="20.149999999999999" customHeight="1" x14ac:dyDescent="0.35">
      <c r="A188" s="17"/>
      <c r="B188" s="15"/>
      <c r="C188" s="15"/>
      <c r="D188" s="15"/>
      <c r="E188" s="15"/>
      <c r="F188" s="63" t="s">
        <v>208</v>
      </c>
      <c r="G188" s="64" t="e">
        <f>#REF!</f>
        <v>#REF!</v>
      </c>
      <c r="H188" s="65"/>
      <c r="I188" s="17"/>
      <c r="J188" s="39" t="e">
        <f t="shared" si="17"/>
        <v>#REF!</v>
      </c>
      <c r="K188" s="40" t="e">
        <f>IF(G188=0,0,(((SUM(A188:E188)/G188)-(I188/G188))*52))</f>
        <v>#REF!</v>
      </c>
    </row>
    <row r="189" spans="1:11" ht="20.149999999999999" customHeight="1" x14ac:dyDescent="0.35">
      <c r="A189" s="17"/>
      <c r="B189" s="15"/>
      <c r="C189" s="15"/>
      <c r="D189" s="15"/>
      <c r="E189" s="15"/>
      <c r="F189" s="63"/>
      <c r="G189" s="64" t="e">
        <f>#REF!</f>
        <v>#REF!</v>
      </c>
      <c r="H189" s="65"/>
      <c r="I189" s="17"/>
      <c r="J189" s="39" t="e">
        <f t="shared" si="17"/>
        <v>#REF!</v>
      </c>
      <c r="K189" s="40" t="e">
        <f t="shared" si="18"/>
        <v>#REF!</v>
      </c>
    </row>
    <row r="190" spans="1:11" ht="20.149999999999999" customHeight="1" x14ac:dyDescent="0.35">
      <c r="A190" s="17"/>
      <c r="B190" s="15"/>
      <c r="C190" s="15"/>
      <c r="D190" s="15"/>
      <c r="E190" s="15"/>
      <c r="F190" s="63"/>
      <c r="G190" s="64" t="e">
        <f>#REF!</f>
        <v>#REF!</v>
      </c>
      <c r="H190" s="65"/>
      <c r="I190" s="17"/>
      <c r="J190" s="39" t="e">
        <f t="shared" si="17"/>
        <v>#REF!</v>
      </c>
      <c r="K190" s="40" t="e">
        <f>IF(G190=0,0,(((SUM(A190:E190)/G190)-(I190/G190))*52))</f>
        <v>#REF!</v>
      </c>
    </row>
    <row r="191" spans="1:11" ht="20.149999999999999" customHeight="1" x14ac:dyDescent="0.35">
      <c r="A191" s="17"/>
      <c r="B191" s="15"/>
      <c r="C191" s="15"/>
      <c r="D191" s="15"/>
      <c r="E191" s="15"/>
      <c r="F191" s="34"/>
      <c r="G191" s="64">
        <v>40.950000000000003</v>
      </c>
      <c r="H191" s="65"/>
      <c r="I191" s="17"/>
      <c r="J191" s="39">
        <f t="shared" si="17"/>
        <v>0</v>
      </c>
      <c r="K191" s="40">
        <f t="shared" ref="K191:K198" si="19">IF(G191=0,0,(((SUM(A191:E191)/G191)-(I191/G191))*52))</f>
        <v>0</v>
      </c>
    </row>
    <row r="192" spans="1:11" ht="20.149999999999999" customHeight="1" x14ac:dyDescent="0.35">
      <c r="A192" s="17"/>
      <c r="B192" s="15"/>
      <c r="C192" s="15"/>
      <c r="D192" s="15"/>
      <c r="E192" s="15"/>
      <c r="F192" s="63"/>
      <c r="G192" s="64">
        <v>40.950000000000003</v>
      </c>
      <c r="H192" s="65"/>
      <c r="I192" s="17"/>
      <c r="J192" s="39">
        <f t="shared" si="17"/>
        <v>0</v>
      </c>
      <c r="K192" s="40">
        <f t="shared" si="19"/>
        <v>0</v>
      </c>
    </row>
    <row r="193" spans="1:13" x14ac:dyDescent="0.35">
      <c r="A193" s="17"/>
      <c r="B193" s="15"/>
      <c r="C193" s="15"/>
      <c r="D193" s="15"/>
      <c r="E193" s="15"/>
      <c r="F193" s="63"/>
      <c r="G193" s="64">
        <v>39.4</v>
      </c>
      <c r="H193" s="65"/>
      <c r="I193" s="17"/>
      <c r="J193" s="39">
        <f t="shared" si="17"/>
        <v>0</v>
      </c>
      <c r="K193" s="40">
        <f t="shared" si="19"/>
        <v>0</v>
      </c>
    </row>
    <row r="194" spans="1:13" ht="20.149999999999999" customHeight="1" x14ac:dyDescent="0.35">
      <c r="A194" s="17"/>
      <c r="B194" s="15"/>
      <c r="C194" s="15"/>
      <c r="D194" s="15"/>
      <c r="E194" s="15"/>
      <c r="F194" s="63" t="e">
        <f>#REF!</f>
        <v>#REF!</v>
      </c>
      <c r="G194" s="64" t="e">
        <f>#REF!</f>
        <v>#REF!</v>
      </c>
      <c r="H194" s="65"/>
      <c r="I194" s="17"/>
      <c r="J194" s="39" t="e">
        <f t="shared" si="17"/>
        <v>#REF!</v>
      </c>
      <c r="K194" s="40" t="e">
        <f t="shared" si="19"/>
        <v>#REF!</v>
      </c>
    </row>
    <row r="195" spans="1:13" ht="20.149999999999999" customHeight="1" x14ac:dyDescent="0.35">
      <c r="A195" s="17"/>
      <c r="B195" s="15"/>
      <c r="C195" s="15"/>
      <c r="D195" s="15"/>
      <c r="E195" s="15"/>
      <c r="F195" s="63" t="e">
        <f>#REF!</f>
        <v>#REF!</v>
      </c>
      <c r="G195" s="64" t="e">
        <f>#REF!</f>
        <v>#REF!</v>
      </c>
      <c r="H195" s="65"/>
      <c r="I195" s="17"/>
      <c r="J195" s="39" t="e">
        <f t="shared" si="17"/>
        <v>#REF!</v>
      </c>
      <c r="K195" s="40" t="e">
        <f t="shared" si="19"/>
        <v>#REF!</v>
      </c>
    </row>
    <row r="196" spans="1:13" ht="20.149999999999999" customHeight="1" x14ac:dyDescent="0.35">
      <c r="A196" s="17"/>
      <c r="B196" s="15"/>
      <c r="C196" s="15"/>
      <c r="D196" s="15"/>
      <c r="E196" s="15"/>
      <c r="F196" s="63" t="e">
        <f>#REF!</f>
        <v>#REF!</v>
      </c>
      <c r="G196" s="64" t="e">
        <f>#REF!</f>
        <v>#REF!</v>
      </c>
      <c r="H196" s="65"/>
      <c r="I196" s="17"/>
      <c r="J196" s="39" t="e">
        <f t="shared" si="17"/>
        <v>#REF!</v>
      </c>
      <c r="K196" s="40" t="e">
        <f t="shared" si="19"/>
        <v>#REF!</v>
      </c>
    </row>
    <row r="197" spans="1:13" ht="20.149999999999999" customHeight="1" x14ac:dyDescent="0.35">
      <c r="A197" s="17"/>
      <c r="B197" s="15"/>
      <c r="C197" s="15"/>
      <c r="D197" s="15"/>
      <c r="E197" s="15"/>
      <c r="F197" s="63" t="e">
        <f>#REF!</f>
        <v>#REF!</v>
      </c>
      <c r="G197" s="64" t="e">
        <f>#REF!</f>
        <v>#REF!</v>
      </c>
      <c r="H197" s="65"/>
      <c r="I197" s="17"/>
      <c r="J197" s="39" t="e">
        <f t="shared" si="17"/>
        <v>#REF!</v>
      </c>
      <c r="K197" s="40" t="e">
        <f t="shared" si="19"/>
        <v>#REF!</v>
      </c>
    </row>
    <row r="198" spans="1:13" ht="20.149999999999999" customHeight="1" thickBot="1" x14ac:dyDescent="0.4">
      <c r="A198" s="33"/>
      <c r="B198" s="32"/>
      <c r="C198" s="32"/>
      <c r="D198" s="32"/>
      <c r="E198" s="32"/>
      <c r="F198" s="71" t="e">
        <f>#REF!</f>
        <v>#REF!</v>
      </c>
      <c r="G198" s="72" t="e">
        <f>#REF!</f>
        <v>#REF!</v>
      </c>
      <c r="H198" s="73"/>
      <c r="I198" s="33"/>
      <c r="J198" s="74" t="e">
        <f t="shared" si="17"/>
        <v>#REF!</v>
      </c>
      <c r="K198" s="75" t="e">
        <f t="shared" si="19"/>
        <v>#REF!</v>
      </c>
    </row>
    <row r="199" spans="1:13" ht="20.149999999999999" customHeight="1" thickBot="1" x14ac:dyDescent="0.6">
      <c r="A199" s="109" t="s">
        <v>9</v>
      </c>
      <c r="B199" s="110"/>
      <c r="C199" s="110"/>
      <c r="D199" s="110"/>
      <c r="E199" s="110"/>
      <c r="F199" s="110"/>
      <c r="G199" s="110"/>
      <c r="H199" s="110"/>
      <c r="I199" s="111"/>
      <c r="J199" s="87">
        <v>409.95678002576386</v>
      </c>
      <c r="K199" s="88"/>
    </row>
    <row r="200" spans="1:13" ht="20.149999999999999" customHeight="1" thickBot="1" x14ac:dyDescent="0.6">
      <c r="A200" s="109" t="s">
        <v>27</v>
      </c>
      <c r="B200" s="110"/>
      <c r="C200" s="110"/>
      <c r="D200" s="110"/>
      <c r="E200" s="110"/>
      <c r="F200" s="110"/>
      <c r="G200" s="110"/>
      <c r="H200" s="110"/>
      <c r="I200" s="111"/>
      <c r="J200" s="89">
        <v>0</v>
      </c>
      <c r="K200" s="90"/>
    </row>
    <row r="201" spans="1:13" ht="24" thickBot="1" x14ac:dyDescent="0.6">
      <c r="A201" s="109" t="s">
        <v>55</v>
      </c>
      <c r="B201" s="110"/>
      <c r="C201" s="110"/>
      <c r="D201" s="110"/>
      <c r="E201" s="110"/>
      <c r="F201" s="110"/>
      <c r="G201" s="110"/>
      <c r="H201" s="110"/>
      <c r="I201" s="111"/>
      <c r="J201" s="89">
        <v>0</v>
      </c>
      <c r="K201" s="90"/>
    </row>
    <row r="202" spans="1:13" ht="24" thickBot="1" x14ac:dyDescent="0.6">
      <c r="A202" s="109" t="s">
        <v>11</v>
      </c>
      <c r="B202" s="110"/>
      <c r="C202" s="110"/>
      <c r="D202" s="110"/>
      <c r="E202" s="110"/>
      <c r="F202" s="110"/>
      <c r="G202" s="110"/>
      <c r="H202" s="110"/>
      <c r="I202" s="111"/>
      <c r="J202" s="87" t="e">
        <f>SUM(J162:J173)+SUM(J182:J193)</f>
        <v>#REF!</v>
      </c>
      <c r="K202" s="88"/>
    </row>
    <row r="203" spans="1:13" ht="24" customHeight="1" thickBot="1" x14ac:dyDescent="0.6">
      <c r="A203" s="109" t="s">
        <v>28</v>
      </c>
      <c r="B203" s="110"/>
      <c r="C203" s="110"/>
      <c r="D203" s="110"/>
      <c r="E203" s="110"/>
      <c r="F203" s="110"/>
      <c r="G203" s="110"/>
      <c r="H203" s="110"/>
      <c r="I203" s="111"/>
      <c r="J203" s="165">
        <v>348.25</v>
      </c>
      <c r="K203" s="166"/>
    </row>
    <row r="204" spans="1:13" ht="24" thickBot="1" x14ac:dyDescent="0.6">
      <c r="A204" s="109" t="s">
        <v>29</v>
      </c>
      <c r="B204" s="110"/>
      <c r="C204" s="110"/>
      <c r="D204" s="110"/>
      <c r="E204" s="110"/>
      <c r="F204" s="110"/>
      <c r="G204" s="110"/>
      <c r="H204" s="110"/>
      <c r="I204" s="111"/>
      <c r="J204" s="87" t="e">
        <f>J199+J200+J201-J202</f>
        <v>#REF!</v>
      </c>
      <c r="K204" s="88"/>
    </row>
    <row r="205" spans="1:13" ht="24" thickBot="1" x14ac:dyDescent="0.6">
      <c r="A205" s="109" t="s">
        <v>30</v>
      </c>
      <c r="B205" s="110"/>
      <c r="C205" s="110"/>
      <c r="D205" s="110"/>
      <c r="E205" s="110"/>
      <c r="F205" s="110"/>
      <c r="G205" s="110"/>
      <c r="H205" s="110"/>
      <c r="I205" s="111"/>
      <c r="J205" s="112" t="e">
        <f>J204/J203</f>
        <v>#REF!</v>
      </c>
      <c r="K205" s="113"/>
      <c r="L205" s="3"/>
      <c r="M205" s="2"/>
    </row>
    <row r="206" spans="1:13" ht="24" thickBot="1" x14ac:dyDescent="0.6">
      <c r="A206" s="85" t="s">
        <v>56</v>
      </c>
      <c r="B206" s="85"/>
      <c r="C206" s="85"/>
      <c r="D206" s="85"/>
      <c r="E206" s="85"/>
      <c r="F206" s="85"/>
      <c r="G206" s="85"/>
      <c r="H206" s="85"/>
      <c r="I206" s="86"/>
      <c r="J206" s="112" t="e">
        <f>((H224+H225+H227-J202)/H226)</f>
        <v>#REF!</v>
      </c>
      <c r="K206" s="113"/>
      <c r="L206" s="3"/>
      <c r="M206" s="2"/>
    </row>
    <row r="207" spans="1:13" ht="24" thickBot="1" x14ac:dyDescent="0.6">
      <c r="A207" s="160" t="s">
        <v>31</v>
      </c>
      <c r="B207" s="161"/>
      <c r="C207" s="161"/>
      <c r="D207" s="161"/>
      <c r="E207" s="161"/>
      <c r="F207" s="161"/>
      <c r="G207" s="161"/>
      <c r="H207" s="161"/>
      <c r="I207" s="162"/>
      <c r="J207" s="163">
        <v>4318.1256176473144</v>
      </c>
      <c r="K207" s="164"/>
      <c r="L207" s="3"/>
      <c r="M207" s="2"/>
    </row>
    <row r="208" spans="1:13" ht="24" thickBot="1" x14ac:dyDescent="0.6">
      <c r="A208" s="160" t="s">
        <v>32</v>
      </c>
      <c r="B208" s="161"/>
      <c r="C208" s="161"/>
      <c r="D208" s="161"/>
      <c r="E208" s="161"/>
      <c r="F208" s="161"/>
      <c r="G208" s="161"/>
      <c r="H208" s="161"/>
      <c r="I208" s="162"/>
      <c r="J208" s="163">
        <f>J58+J137+J200+J152</f>
        <v>0</v>
      </c>
      <c r="K208" s="164"/>
      <c r="L208" s="3"/>
      <c r="M208" s="2"/>
    </row>
    <row r="209" spans="1:13" ht="24" thickBot="1" x14ac:dyDescent="0.6">
      <c r="A209" s="160" t="s">
        <v>54</v>
      </c>
      <c r="B209" s="161"/>
      <c r="C209" s="161"/>
      <c r="D209" s="161"/>
      <c r="E209" s="161"/>
      <c r="F209" s="161"/>
      <c r="G209" s="161"/>
      <c r="H209" s="161"/>
      <c r="I209" s="162"/>
      <c r="J209" s="163">
        <f>J59+J138+J201+J153</f>
        <v>0</v>
      </c>
      <c r="K209" s="164"/>
      <c r="L209" s="3"/>
      <c r="M209" s="2"/>
    </row>
    <row r="210" spans="1:13" ht="24" thickBot="1" x14ac:dyDescent="0.6">
      <c r="A210" s="160" t="s">
        <v>33</v>
      </c>
      <c r="B210" s="161"/>
      <c r="C210" s="161"/>
      <c r="D210" s="161"/>
      <c r="E210" s="161"/>
      <c r="F210" s="161"/>
      <c r="G210" s="161"/>
      <c r="H210" s="161"/>
      <c r="I210" s="162"/>
      <c r="J210" s="163" t="e">
        <f>J60+J139+J202+J154</f>
        <v>#DIV/0!</v>
      </c>
      <c r="K210" s="164"/>
      <c r="L210" s="3"/>
      <c r="M210" s="2"/>
    </row>
    <row r="211" spans="1:13" ht="24" thickBot="1" x14ac:dyDescent="0.6">
      <c r="A211" s="160" t="s">
        <v>34</v>
      </c>
      <c r="B211" s="161"/>
      <c r="C211" s="161"/>
      <c r="D211" s="161"/>
      <c r="E211" s="161"/>
      <c r="F211" s="161"/>
      <c r="G211" s="161"/>
      <c r="H211" s="161"/>
      <c r="I211" s="162"/>
      <c r="J211" s="163">
        <f>J61+J140+J203+J155</f>
        <v>2687</v>
      </c>
      <c r="K211" s="164"/>
      <c r="L211" s="3"/>
      <c r="M211" s="2"/>
    </row>
    <row r="212" spans="1:13" ht="24" thickBot="1" x14ac:dyDescent="0.6">
      <c r="A212" s="160" t="s">
        <v>35</v>
      </c>
      <c r="B212" s="161"/>
      <c r="C212" s="161"/>
      <c r="D212" s="161"/>
      <c r="E212" s="161"/>
      <c r="F212" s="161"/>
      <c r="G212" s="161"/>
      <c r="H212" s="161"/>
      <c r="I212" s="162"/>
      <c r="J212" s="163" t="e">
        <f>J207+J208+J209-J210</f>
        <v>#DIV/0!</v>
      </c>
      <c r="K212" s="164"/>
      <c r="L212" s="3"/>
      <c r="M212" s="2"/>
    </row>
    <row r="213" spans="1:13" ht="24" thickBot="1" x14ac:dyDescent="0.6">
      <c r="A213" s="160" t="s">
        <v>36</v>
      </c>
      <c r="B213" s="161"/>
      <c r="C213" s="161"/>
      <c r="D213" s="161"/>
      <c r="E213" s="161"/>
      <c r="F213" s="161"/>
      <c r="G213" s="161"/>
      <c r="H213" s="161"/>
      <c r="I213" s="162"/>
      <c r="J213" s="167" t="e">
        <f>J212/J211</f>
        <v>#DIV/0!</v>
      </c>
      <c r="K213" s="168"/>
      <c r="L213" s="3"/>
      <c r="M213" s="2"/>
    </row>
    <row r="214" spans="1:13" ht="24" thickBot="1" x14ac:dyDescent="0.6">
      <c r="A214" s="169" t="s">
        <v>57</v>
      </c>
      <c r="B214" s="170"/>
      <c r="C214" s="170"/>
      <c r="D214" s="170"/>
      <c r="E214" s="170"/>
      <c r="F214" s="170"/>
      <c r="G214" s="170"/>
      <c r="H214" s="170"/>
      <c r="I214" s="171"/>
      <c r="J214" s="172" t="e">
        <f>((K224+K225+K227-J210))/K226</f>
        <v>#DIV/0!</v>
      </c>
      <c r="K214" s="173"/>
      <c r="L214" s="3"/>
      <c r="M214" s="2"/>
    </row>
    <row r="215" spans="1:13" ht="24" thickBot="1" x14ac:dyDescent="0.6">
      <c r="A215" s="190" t="s">
        <v>37</v>
      </c>
      <c r="B215" s="191"/>
      <c r="C215" s="191"/>
      <c r="D215" s="191"/>
      <c r="E215" s="191"/>
      <c r="F215" s="191"/>
      <c r="G215" s="191"/>
      <c r="H215" s="191"/>
      <c r="I215" s="191"/>
      <c r="J215" s="191"/>
      <c r="K215" s="192"/>
      <c r="L215" s="3"/>
      <c r="M215" s="2"/>
    </row>
    <row r="216" spans="1:13" ht="15" thickBot="1" x14ac:dyDescent="0.4">
      <c r="A216" s="193" t="s">
        <v>8</v>
      </c>
      <c r="B216" s="194"/>
      <c r="C216" s="194"/>
      <c r="D216" s="194"/>
      <c r="E216" s="195"/>
      <c r="F216" s="20" t="s">
        <v>38</v>
      </c>
      <c r="G216" s="19" t="s">
        <v>42</v>
      </c>
      <c r="H216" s="19" t="s">
        <v>43</v>
      </c>
      <c r="I216" s="19" t="s">
        <v>47</v>
      </c>
      <c r="J216" s="21" t="s">
        <v>46</v>
      </c>
      <c r="K216" s="21" t="s">
        <v>71</v>
      </c>
      <c r="L216" s="3"/>
      <c r="M216" s="2"/>
    </row>
    <row r="217" spans="1:13" x14ac:dyDescent="0.35">
      <c r="A217" s="196" t="s">
        <v>39</v>
      </c>
      <c r="B217" s="197"/>
      <c r="C217" s="197"/>
      <c r="D217" s="197"/>
      <c r="E217" s="198"/>
      <c r="F217" s="22">
        <v>70</v>
      </c>
      <c r="G217" s="46" t="s">
        <v>38</v>
      </c>
      <c r="H217" s="23"/>
      <c r="I217" s="24">
        <v>1</v>
      </c>
      <c r="J217" s="24">
        <v>13</v>
      </c>
      <c r="K217" s="25">
        <v>40</v>
      </c>
      <c r="L217" s="3"/>
      <c r="M217" s="2"/>
    </row>
    <row r="218" spans="1:13" ht="15" thickBot="1" x14ac:dyDescent="0.4">
      <c r="A218" s="199" t="s">
        <v>40</v>
      </c>
      <c r="B218" s="200"/>
      <c r="C218" s="200"/>
      <c r="D218" s="200"/>
      <c r="E218" s="201"/>
      <c r="F218" s="26">
        <v>36</v>
      </c>
      <c r="G218" s="47" t="s">
        <v>52</v>
      </c>
      <c r="H218" s="185" t="e">
        <f>(H217*34)+(I217*17)+(J217*8)+(K217*6)-((SUM(K162:K172))+(SUM(K182:K190)))</f>
        <v>#REF!</v>
      </c>
      <c r="I218" s="186"/>
      <c r="J218" s="186"/>
      <c r="K218" s="187"/>
      <c r="L218" s="3"/>
    </row>
    <row r="219" spans="1:13" ht="15" thickBot="1" x14ac:dyDescent="0.4">
      <c r="A219" s="199" t="s">
        <v>41</v>
      </c>
      <c r="B219" s="200"/>
      <c r="C219" s="200"/>
      <c r="D219" s="200"/>
      <c r="E219" s="201"/>
      <c r="F219" s="26">
        <v>0</v>
      </c>
      <c r="G219" s="202" t="s">
        <v>45</v>
      </c>
      <c r="H219" s="203"/>
      <c r="I219" s="203"/>
      <c r="J219" s="203"/>
      <c r="K219" s="204"/>
      <c r="L219" s="3"/>
    </row>
    <row r="220" spans="1:13" x14ac:dyDescent="0.35">
      <c r="A220" s="174" t="s">
        <v>48</v>
      </c>
      <c r="B220" s="175"/>
      <c r="C220" s="175"/>
      <c r="D220" s="175"/>
      <c r="E220" s="176"/>
      <c r="F220" s="180" t="e">
        <f>(F217+(F218*2)+(F219*3))-(SUM(K5:K37))</f>
        <v>#DIV/0!</v>
      </c>
      <c r="G220" s="46" t="s">
        <v>38</v>
      </c>
      <c r="H220" s="182">
        <v>287</v>
      </c>
      <c r="I220" s="183"/>
      <c r="J220" s="183"/>
      <c r="K220" s="184"/>
      <c r="L220" s="3"/>
    </row>
    <row r="221" spans="1:13" ht="15" thickBot="1" x14ac:dyDescent="0.4">
      <c r="A221" s="177"/>
      <c r="B221" s="178"/>
      <c r="C221" s="178"/>
      <c r="D221" s="178"/>
      <c r="E221" s="179"/>
      <c r="F221" s="181"/>
      <c r="G221" s="47" t="s">
        <v>52</v>
      </c>
      <c r="H221" s="185">
        <f>H220-(SUM(K110:K135))</f>
        <v>287</v>
      </c>
      <c r="I221" s="186"/>
      <c r="J221" s="186"/>
      <c r="K221" s="187"/>
      <c r="L221" s="3"/>
    </row>
    <row r="222" spans="1:13" x14ac:dyDescent="0.35">
      <c r="A222" s="188"/>
      <c r="B222" s="188"/>
      <c r="C222" s="188"/>
      <c r="D222" s="188"/>
      <c r="E222" s="188"/>
      <c r="F222" s="10"/>
      <c r="H222" s="189"/>
      <c r="I222" s="189"/>
      <c r="J222" s="189"/>
      <c r="K222" s="189"/>
      <c r="L222" s="3"/>
    </row>
    <row r="223" spans="1:13" x14ac:dyDescent="0.35">
      <c r="A223" s="208"/>
      <c r="B223" s="208"/>
      <c r="C223" s="208"/>
      <c r="D223" s="208"/>
      <c r="E223" s="208"/>
      <c r="F223" s="11" t="s">
        <v>8</v>
      </c>
      <c r="G223" s="11" t="s">
        <v>49</v>
      </c>
      <c r="H223" s="209" t="s">
        <v>50</v>
      </c>
      <c r="I223" s="209"/>
      <c r="J223" t="s">
        <v>61</v>
      </c>
      <c r="K223" t="s">
        <v>51</v>
      </c>
      <c r="L223" s="3"/>
    </row>
    <row r="224" spans="1:13" x14ac:dyDescent="0.35">
      <c r="A224" s="205" t="s">
        <v>9</v>
      </c>
      <c r="B224" s="205"/>
      <c r="C224" s="205"/>
      <c r="D224" s="205"/>
      <c r="E224" s="205"/>
      <c r="F224" s="12">
        <f>J57</f>
        <v>1713.9906492157534</v>
      </c>
      <c r="G224" s="12">
        <f>J136</f>
        <v>1757.8899999999999</v>
      </c>
      <c r="H224" s="206">
        <f>J199</f>
        <v>409.95678002576386</v>
      </c>
      <c r="I224" s="206"/>
      <c r="J224" s="49">
        <f>J151</f>
        <v>436.28818840579714</v>
      </c>
      <c r="K224" s="13">
        <f>SUM(F224:J224)</f>
        <v>4318.1256176473144</v>
      </c>
      <c r="L224" s="3"/>
    </row>
    <row r="225" spans="1:16" x14ac:dyDescent="0.35">
      <c r="A225" s="205" t="s">
        <v>58</v>
      </c>
      <c r="B225" s="205"/>
      <c r="C225" s="205"/>
      <c r="D225" s="205"/>
      <c r="E225" s="205"/>
      <c r="F225" s="12">
        <f>J58</f>
        <v>0</v>
      </c>
      <c r="G225" s="12">
        <f>J137</f>
        <v>0</v>
      </c>
      <c r="H225" s="206">
        <f>J200</f>
        <v>0</v>
      </c>
      <c r="I225" s="206"/>
      <c r="J225" s="49">
        <f>J152</f>
        <v>0</v>
      </c>
      <c r="K225" s="13">
        <f>SUM(F225:J225)</f>
        <v>0</v>
      </c>
      <c r="L225" s="3"/>
    </row>
    <row r="226" spans="1:16" x14ac:dyDescent="0.35">
      <c r="A226" s="205" t="s">
        <v>59</v>
      </c>
      <c r="B226" s="205"/>
      <c r="C226" s="205"/>
      <c r="D226" s="205"/>
      <c r="E226" s="205"/>
      <c r="F226" s="12">
        <f>J61</f>
        <v>0</v>
      </c>
      <c r="G226" s="12">
        <f>J140</f>
        <v>1739.25</v>
      </c>
      <c r="H226" s="206">
        <f>J203</f>
        <v>348.25</v>
      </c>
      <c r="I226" s="206"/>
      <c r="J226" s="49">
        <f>J155</f>
        <v>599.5</v>
      </c>
      <c r="K226" s="13">
        <f>SUM(F226:J226)</f>
        <v>2687</v>
      </c>
      <c r="L226" s="3"/>
    </row>
    <row r="227" spans="1:16" x14ac:dyDescent="0.35">
      <c r="A227" s="205" t="s">
        <v>60</v>
      </c>
      <c r="B227" s="205"/>
      <c r="C227" s="205"/>
      <c r="D227" s="205"/>
      <c r="E227" s="205"/>
      <c r="F227" s="48">
        <f>J59</f>
        <v>0</v>
      </c>
      <c r="G227" s="49">
        <f>J138</f>
        <v>0</v>
      </c>
      <c r="H227" s="207">
        <f>J201</f>
        <v>0</v>
      </c>
      <c r="I227" s="207"/>
      <c r="J227" s="49">
        <f>J153</f>
        <v>0</v>
      </c>
      <c r="K227" s="49">
        <f>SUM(F227:J227)</f>
        <v>0</v>
      </c>
      <c r="L227" s="3"/>
    </row>
    <row r="228" spans="1:16" x14ac:dyDescent="0.35">
      <c r="A228" s="205"/>
      <c r="B228" s="205"/>
      <c r="C228" s="205"/>
      <c r="D228" s="205"/>
      <c r="E228" s="205"/>
      <c r="F228" s="10"/>
      <c r="J228" s="8"/>
      <c r="L228" s="3"/>
    </row>
    <row r="229" spans="1:16" x14ac:dyDescent="0.35">
      <c r="A229" s="205"/>
      <c r="B229" s="205"/>
      <c r="C229" s="205"/>
      <c r="D229" s="205"/>
      <c r="E229" s="205"/>
      <c r="F229" s="10"/>
      <c r="J229" s="8"/>
      <c r="L229" s="3"/>
    </row>
    <row r="230" spans="1:16" x14ac:dyDescent="0.35">
      <c r="A230" s="208"/>
      <c r="B230" s="208"/>
      <c r="C230" s="208"/>
      <c r="D230" s="208"/>
      <c r="E230" s="208"/>
      <c r="F230" s="7"/>
      <c r="J230" s="8"/>
      <c r="L230" s="3"/>
    </row>
    <row r="231" spans="1:16" x14ac:dyDescent="0.35">
      <c r="A231" s="205"/>
      <c r="B231" s="205"/>
      <c r="C231" s="205"/>
      <c r="D231" s="205"/>
      <c r="E231" s="205"/>
      <c r="F231" s="10"/>
      <c r="J231" s="8"/>
      <c r="L231" s="2"/>
    </row>
    <row r="232" spans="1:16" x14ac:dyDescent="0.35">
      <c r="A232" s="205"/>
      <c r="B232" s="205"/>
      <c r="C232" s="205"/>
      <c r="D232" s="205"/>
      <c r="E232" s="205"/>
      <c r="F232" s="10"/>
      <c r="J232" s="8"/>
      <c r="L232" s="2"/>
    </row>
    <row r="233" spans="1:16" x14ac:dyDescent="0.35">
      <c r="A233" s="205"/>
      <c r="B233" s="205"/>
      <c r="C233" s="205"/>
      <c r="D233" s="205"/>
      <c r="E233" s="205"/>
      <c r="F233" s="10"/>
      <c r="J233" s="8"/>
      <c r="L233" s="2"/>
      <c r="M233" s="3"/>
      <c r="N233" s="4"/>
      <c r="O233" s="4"/>
      <c r="P233" s="4"/>
    </row>
    <row r="234" spans="1:16" x14ac:dyDescent="0.35">
      <c r="A234" s="205"/>
      <c r="B234" s="205"/>
      <c r="C234" s="205"/>
      <c r="D234" s="205"/>
      <c r="E234" s="205"/>
      <c r="F234" s="10"/>
      <c r="J234" s="8"/>
      <c r="L234" s="2"/>
    </row>
    <row r="235" spans="1:16" x14ac:dyDescent="0.35">
      <c r="A235" s="205"/>
      <c r="B235" s="205"/>
      <c r="C235" s="205"/>
      <c r="D235" s="205"/>
      <c r="E235" s="205"/>
      <c r="F235" s="10"/>
      <c r="J235" s="8"/>
      <c r="L235" s="2"/>
      <c r="M235" s="3"/>
      <c r="N235" s="4"/>
      <c r="O235" s="4"/>
      <c r="P235" s="4"/>
    </row>
    <row r="236" spans="1:16" x14ac:dyDescent="0.35">
      <c r="A236" s="205"/>
      <c r="B236" s="205"/>
      <c r="C236" s="205"/>
      <c r="D236" s="205"/>
      <c r="E236" s="205"/>
      <c r="F236" s="10"/>
      <c r="J236" s="8"/>
      <c r="L236" s="2"/>
      <c r="M236" s="3"/>
      <c r="N236" s="4"/>
      <c r="O236" s="4"/>
      <c r="P236" s="4"/>
    </row>
    <row r="237" spans="1:16" x14ac:dyDescent="0.35">
      <c r="A237" s="208"/>
      <c r="B237" s="208"/>
      <c r="C237" s="208"/>
      <c r="D237" s="208"/>
      <c r="E237" s="208"/>
      <c r="F237" s="7"/>
      <c r="J237" s="8"/>
      <c r="L237" s="2"/>
      <c r="M237" s="3"/>
      <c r="N237" s="4"/>
      <c r="O237" s="4"/>
      <c r="P237" s="4"/>
    </row>
    <row r="238" spans="1:16" x14ac:dyDescent="0.35">
      <c r="A238" s="208"/>
      <c r="B238" s="208"/>
      <c r="C238" s="208"/>
      <c r="D238" s="208"/>
      <c r="E238" s="208"/>
      <c r="F238" s="7"/>
      <c r="J238" s="8"/>
      <c r="L238" s="2"/>
      <c r="M238" s="3"/>
      <c r="N238" s="4"/>
      <c r="O238" s="4"/>
      <c r="P238" s="4"/>
    </row>
    <row r="239" spans="1:16" x14ac:dyDescent="0.35">
      <c r="A239" s="6"/>
      <c r="B239" s="6"/>
      <c r="C239" s="6"/>
      <c r="D239" s="6"/>
      <c r="E239" s="6"/>
      <c r="F239" s="6"/>
      <c r="J239" s="8"/>
      <c r="L239" s="2"/>
      <c r="M239" s="3"/>
      <c r="N239" s="2"/>
      <c r="O239" s="4"/>
      <c r="P239" s="4"/>
    </row>
    <row r="240" spans="1:16" x14ac:dyDescent="0.35">
      <c r="A240" s="6"/>
      <c r="B240" s="6"/>
      <c r="C240" s="6"/>
      <c r="D240" s="6"/>
      <c r="E240" s="6"/>
      <c r="F240" s="6"/>
      <c r="J240" s="8"/>
      <c r="L240" s="4"/>
      <c r="M240" s="3"/>
      <c r="N240" s="2"/>
      <c r="O240" s="4"/>
      <c r="P240" s="4"/>
    </row>
    <row r="241" spans="1:16" x14ac:dyDescent="0.35">
      <c r="A241" s="6"/>
      <c r="B241" s="6"/>
      <c r="C241" s="6"/>
      <c r="D241" s="6"/>
      <c r="E241" s="6"/>
      <c r="F241" s="6"/>
      <c r="G241" s="9"/>
      <c r="H241" s="9"/>
      <c r="I241" s="9"/>
      <c r="J241" s="9"/>
      <c r="K241" s="9"/>
      <c r="L241" s="2"/>
      <c r="M241" s="3"/>
      <c r="N241" s="4"/>
      <c r="O241" s="4"/>
      <c r="P241" s="4"/>
    </row>
    <row r="242" spans="1:16" x14ac:dyDescent="0.35">
      <c r="A242" s="6"/>
      <c r="B242" s="6"/>
      <c r="C242" s="6"/>
      <c r="D242" s="6"/>
      <c r="E242" s="6"/>
      <c r="F242" s="6"/>
      <c r="G242" s="9"/>
      <c r="H242" s="9"/>
      <c r="I242" s="9"/>
      <c r="J242" s="9"/>
      <c r="K242" s="9"/>
      <c r="L242" s="2"/>
      <c r="M242" s="3"/>
      <c r="N242" s="2"/>
      <c r="O242" s="4"/>
      <c r="P242" s="4"/>
    </row>
    <row r="243" spans="1:16" x14ac:dyDescent="0.35">
      <c r="A243" s="6"/>
      <c r="B243" s="6"/>
      <c r="C243" s="6"/>
      <c r="D243" s="6"/>
      <c r="E243" s="6"/>
      <c r="F243" s="7"/>
      <c r="G243" s="6"/>
      <c r="H243" s="6"/>
      <c r="I243" s="6"/>
      <c r="J243" s="6"/>
      <c r="K243" s="7"/>
      <c r="L243" s="2"/>
      <c r="M243" s="3"/>
      <c r="N243" s="2"/>
      <c r="O243" s="4"/>
      <c r="P243" s="4"/>
    </row>
    <row r="244" spans="1:16" x14ac:dyDescent="0.35">
      <c r="F244" s="8"/>
      <c r="G244" s="8"/>
      <c r="H244" s="8"/>
      <c r="I244" s="8"/>
      <c r="J244" s="8"/>
      <c r="L244" s="2"/>
      <c r="M244" s="3"/>
      <c r="N244" s="2"/>
      <c r="O244" s="4"/>
      <c r="P244" s="4"/>
    </row>
    <row r="245" spans="1:16" x14ac:dyDescent="0.35">
      <c r="F245" s="8"/>
      <c r="G245" s="8"/>
      <c r="H245" s="8"/>
      <c r="I245" s="8"/>
      <c r="J245" s="8"/>
      <c r="L245" s="2"/>
      <c r="M245" s="3"/>
      <c r="N245" s="2"/>
      <c r="O245" s="4"/>
      <c r="P245" s="4"/>
    </row>
    <row r="246" spans="1:16" x14ac:dyDescent="0.35">
      <c r="F246" s="8"/>
      <c r="G246" s="8"/>
      <c r="H246" s="8"/>
      <c r="I246" s="8"/>
      <c r="J246" s="8"/>
      <c r="L246" s="4"/>
      <c r="M246" s="3"/>
      <c r="N246" s="4"/>
      <c r="O246" s="4"/>
      <c r="P246" s="4"/>
    </row>
    <row r="247" spans="1:16" x14ac:dyDescent="0.35">
      <c r="F247" s="8"/>
      <c r="G247" s="8"/>
      <c r="H247" s="8"/>
      <c r="I247" s="8"/>
      <c r="J247" s="8"/>
      <c r="L247" s="2"/>
      <c r="M247" s="3"/>
      <c r="N247" s="2"/>
      <c r="O247" s="4"/>
      <c r="P247" s="4"/>
    </row>
    <row r="248" spans="1:16" x14ac:dyDescent="0.35">
      <c r="F248" s="8"/>
      <c r="G248" s="8"/>
      <c r="H248" s="8"/>
      <c r="I248" s="8"/>
      <c r="J248" s="8"/>
      <c r="L248" s="2"/>
      <c r="M248" s="3"/>
      <c r="N248" s="2"/>
      <c r="O248" s="4"/>
      <c r="P248" s="4"/>
    </row>
    <row r="249" spans="1:16" x14ac:dyDescent="0.35">
      <c r="F249" s="8"/>
      <c r="G249" s="8"/>
      <c r="H249" s="8"/>
      <c r="I249" s="8"/>
      <c r="J249" s="8"/>
      <c r="L249" s="2"/>
      <c r="M249" s="3"/>
      <c r="N249" s="2"/>
      <c r="O249" s="4"/>
      <c r="P249" s="4"/>
    </row>
    <row r="250" spans="1:16" x14ac:dyDescent="0.35">
      <c r="F250" s="8"/>
      <c r="G250" s="8"/>
      <c r="H250" s="8"/>
      <c r="I250" s="8"/>
      <c r="J250" s="8"/>
      <c r="L250" s="2"/>
      <c r="M250" s="3"/>
      <c r="N250" s="2"/>
      <c r="O250" s="4"/>
      <c r="P250" s="4"/>
    </row>
    <row r="251" spans="1:16" x14ac:dyDescent="0.35">
      <c r="F251" s="8"/>
      <c r="G251" s="8"/>
      <c r="H251" s="8"/>
      <c r="I251" s="8"/>
      <c r="J251" s="8"/>
      <c r="L251" s="2"/>
      <c r="M251" s="3"/>
      <c r="N251" s="2"/>
      <c r="O251" s="4"/>
      <c r="P251" s="4"/>
    </row>
    <row r="252" spans="1:16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L252" s="2"/>
      <c r="M252" s="3"/>
      <c r="N252" s="2"/>
      <c r="O252" s="4"/>
      <c r="P252" s="4"/>
    </row>
    <row r="253" spans="1:16" x14ac:dyDescent="0.35">
      <c r="L253" s="2"/>
      <c r="M253" s="3"/>
      <c r="N253" s="2"/>
      <c r="O253" s="4"/>
      <c r="P253" s="4"/>
    </row>
    <row r="254" spans="1:16" x14ac:dyDescent="0.35">
      <c r="L254" s="2"/>
      <c r="M254" s="3"/>
      <c r="N254" s="2"/>
      <c r="O254" s="4"/>
      <c r="P254" s="4"/>
    </row>
    <row r="255" spans="1:16" x14ac:dyDescent="0.35">
      <c r="L255" s="2"/>
      <c r="M255" s="3"/>
      <c r="N255" s="2"/>
      <c r="O255" s="4"/>
      <c r="P255" s="5"/>
    </row>
  </sheetData>
  <sheetProtection selectLockedCells="1" selectUnlockedCells="1"/>
  <mergeCells count="185">
    <mergeCell ref="A236:E236"/>
    <mergeCell ref="A237:E237"/>
    <mergeCell ref="A238:E238"/>
    <mergeCell ref="A230:E230"/>
    <mergeCell ref="A231:E231"/>
    <mergeCell ref="A232:E232"/>
    <mergeCell ref="A233:E233"/>
    <mergeCell ref="A234:E234"/>
    <mergeCell ref="A235:E235"/>
    <mergeCell ref="A226:E226"/>
    <mergeCell ref="H226:I226"/>
    <mergeCell ref="A227:E227"/>
    <mergeCell ref="H227:I227"/>
    <mergeCell ref="A228:E228"/>
    <mergeCell ref="A229:E229"/>
    <mergeCell ref="A223:E223"/>
    <mergeCell ref="H223:I223"/>
    <mergeCell ref="A224:E224"/>
    <mergeCell ref="H224:I224"/>
    <mergeCell ref="A225:E225"/>
    <mergeCell ref="H225:I225"/>
    <mergeCell ref="A220:E221"/>
    <mergeCell ref="F220:F221"/>
    <mergeCell ref="H220:K220"/>
    <mergeCell ref="H221:K221"/>
    <mergeCell ref="A222:E222"/>
    <mergeCell ref="H222:K222"/>
    <mergeCell ref="A215:K215"/>
    <mergeCell ref="A216:E216"/>
    <mergeCell ref="A217:E217"/>
    <mergeCell ref="A218:E218"/>
    <mergeCell ref="H218:K218"/>
    <mergeCell ref="A219:E219"/>
    <mergeCell ref="G219:K219"/>
    <mergeCell ref="A212:I212"/>
    <mergeCell ref="J212:K212"/>
    <mergeCell ref="A213:I213"/>
    <mergeCell ref="J213:K213"/>
    <mergeCell ref="A214:I214"/>
    <mergeCell ref="J214:K214"/>
    <mergeCell ref="A209:I209"/>
    <mergeCell ref="J209:K209"/>
    <mergeCell ref="A210:I210"/>
    <mergeCell ref="J210:K210"/>
    <mergeCell ref="A211:I211"/>
    <mergeCell ref="J211:K211"/>
    <mergeCell ref="A206:I206"/>
    <mergeCell ref="J206:K206"/>
    <mergeCell ref="A207:I207"/>
    <mergeCell ref="J207:K207"/>
    <mergeCell ref="A208:I208"/>
    <mergeCell ref="J208:K208"/>
    <mergeCell ref="A203:I203"/>
    <mergeCell ref="J203:K203"/>
    <mergeCell ref="A204:I204"/>
    <mergeCell ref="J204:K204"/>
    <mergeCell ref="A205:I205"/>
    <mergeCell ref="J205:K205"/>
    <mergeCell ref="A200:I200"/>
    <mergeCell ref="J200:K200"/>
    <mergeCell ref="A201:I201"/>
    <mergeCell ref="J201:K201"/>
    <mergeCell ref="A202:I202"/>
    <mergeCell ref="J202:K202"/>
    <mergeCell ref="J159:J160"/>
    <mergeCell ref="K159:K160"/>
    <mergeCell ref="A161:K161"/>
    <mergeCell ref="A181:K181"/>
    <mergeCell ref="A199:I199"/>
    <mergeCell ref="J199:K199"/>
    <mergeCell ref="A157:I157"/>
    <mergeCell ref="J157:K157"/>
    <mergeCell ref="A158:I158"/>
    <mergeCell ref="J158:K158"/>
    <mergeCell ref="A159:A160"/>
    <mergeCell ref="B159:E159"/>
    <mergeCell ref="F159:F160"/>
    <mergeCell ref="G159:G160"/>
    <mergeCell ref="H159:H160"/>
    <mergeCell ref="I159:I160"/>
    <mergeCell ref="A154:I154"/>
    <mergeCell ref="J154:K154"/>
    <mergeCell ref="A155:I155"/>
    <mergeCell ref="J155:K155"/>
    <mergeCell ref="A156:I156"/>
    <mergeCell ref="J156:K156"/>
    <mergeCell ref="A146:K146"/>
    <mergeCell ref="A151:I151"/>
    <mergeCell ref="J151:K151"/>
    <mergeCell ref="A152:I152"/>
    <mergeCell ref="J152:K152"/>
    <mergeCell ref="A153:I153"/>
    <mergeCell ref="J153:K153"/>
    <mergeCell ref="A143:I143"/>
    <mergeCell ref="J143:K143"/>
    <mergeCell ref="A144:A145"/>
    <mergeCell ref="B144:E144"/>
    <mergeCell ref="F144:F145"/>
    <mergeCell ref="G144:G145"/>
    <mergeCell ref="H144:H145"/>
    <mergeCell ref="I144:I145"/>
    <mergeCell ref="J144:J145"/>
    <mergeCell ref="K144:K145"/>
    <mergeCell ref="A140:I140"/>
    <mergeCell ref="J140:K140"/>
    <mergeCell ref="A141:I141"/>
    <mergeCell ref="J141:K141"/>
    <mergeCell ref="A142:I142"/>
    <mergeCell ref="J142:K142"/>
    <mergeCell ref="A137:I137"/>
    <mergeCell ref="J137:K137"/>
    <mergeCell ref="A138:I138"/>
    <mergeCell ref="J138:K138"/>
    <mergeCell ref="A139:I139"/>
    <mergeCell ref="J139:K139"/>
    <mergeCell ref="J107:J108"/>
    <mergeCell ref="K107:K108"/>
    <mergeCell ref="A109:K109"/>
    <mergeCell ref="A126:K126"/>
    <mergeCell ref="A136:I136"/>
    <mergeCell ref="J136:K136"/>
    <mergeCell ref="A107:A108"/>
    <mergeCell ref="B107:E107"/>
    <mergeCell ref="F107:F108"/>
    <mergeCell ref="G107:G108"/>
    <mergeCell ref="H107:H108"/>
    <mergeCell ref="I107:I108"/>
    <mergeCell ref="A103:I103"/>
    <mergeCell ref="J103:K103"/>
    <mergeCell ref="A104:I104"/>
    <mergeCell ref="J104:K104"/>
    <mergeCell ref="A105:I105"/>
    <mergeCell ref="J105:K105"/>
    <mergeCell ref="A100:I100"/>
    <mergeCell ref="J100:K100"/>
    <mergeCell ref="A101:I101"/>
    <mergeCell ref="J101:K101"/>
    <mergeCell ref="A102:I102"/>
    <mergeCell ref="J102:K102"/>
    <mergeCell ref="J65:J66"/>
    <mergeCell ref="K65:K66"/>
    <mergeCell ref="A67:K67"/>
    <mergeCell ref="A98:I98"/>
    <mergeCell ref="J98:K98"/>
    <mergeCell ref="A99:I99"/>
    <mergeCell ref="J99:K99"/>
    <mergeCell ref="A65:A66"/>
    <mergeCell ref="B65:E65"/>
    <mergeCell ref="F65:F66"/>
    <mergeCell ref="G65:G66"/>
    <mergeCell ref="H65:H66"/>
    <mergeCell ref="I65:I66"/>
    <mergeCell ref="A62:I62"/>
    <mergeCell ref="J62:K62"/>
    <mergeCell ref="A63:I63"/>
    <mergeCell ref="J63:K63"/>
    <mergeCell ref="A64:I64"/>
    <mergeCell ref="J64:K64"/>
    <mergeCell ref="A59:I59"/>
    <mergeCell ref="J59:K59"/>
    <mergeCell ref="A60:I60"/>
    <mergeCell ref="J60:K60"/>
    <mergeCell ref="A61:I61"/>
    <mergeCell ref="J61:K61"/>
    <mergeCell ref="A38:K38"/>
    <mergeCell ref="A44:K44"/>
    <mergeCell ref="A57:I57"/>
    <mergeCell ref="J57:K57"/>
    <mergeCell ref="A58:I58"/>
    <mergeCell ref="J58:K58"/>
    <mergeCell ref="A4:K4"/>
    <mergeCell ref="A9:K9"/>
    <mergeCell ref="A14:K14"/>
    <mergeCell ref="A22:K22"/>
    <mergeCell ref="A25:K25"/>
    <mergeCell ref="A31:K31"/>
    <mergeCell ref="A1:K1"/>
    <mergeCell ref="A2:A3"/>
    <mergeCell ref="B2:E2"/>
    <mergeCell ref="F2:F3"/>
    <mergeCell ref="G2:G3"/>
    <mergeCell ref="H2:H3"/>
    <mergeCell ref="I2:I3"/>
    <mergeCell ref="J2:J3"/>
    <mergeCell ref="K2:K3"/>
  </mergeCells>
  <conditionalFormatting sqref="L230:L237 M233:O233 M235:O237 P255">
    <cfRule type="cellIs" dxfId="0" priority="1" stopIfTrue="1" operator="lessThan">
      <formula>0</formula>
    </cfRule>
  </conditionalFormatting>
  <pageMargins left="0.27559055118110237" right="7.874015748031496E-2" top="0.27559055118110237" bottom="0.23622047244094491" header="0.23622047244094491" footer="0.23622047244094491"/>
  <pageSetup orientation="portrait" blackAndWhite="1" r:id="rId1"/>
  <rowBreaks count="2" manualBreakCount="2">
    <brk id="106" max="10" man="1"/>
    <brk id="158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2E63-F10D-44D3-8CC1-B5DD1A648513}">
  <dimension ref="A1:R254"/>
  <sheetViews>
    <sheetView zoomScale="98" zoomScaleNormal="98" workbookViewId="0">
      <selection sqref="A1:K1"/>
    </sheetView>
  </sheetViews>
  <sheetFormatPr defaultRowHeight="14.5" x14ac:dyDescent="0.35"/>
  <cols>
    <col min="1" max="5" width="5.7265625" customWidth="1"/>
    <col min="6" max="6" width="32" customWidth="1"/>
    <col min="7" max="7" width="10.54296875" customWidth="1"/>
    <col min="8" max="8" width="8.54296875" customWidth="1"/>
    <col min="9" max="9" width="8.7265625" customWidth="1"/>
    <col min="10" max="11" width="10.54296875" customWidth="1"/>
  </cols>
  <sheetData>
    <row r="1" spans="1:18" ht="15" thickBot="1" x14ac:dyDescent="0.4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6"/>
      <c r="R1" s="8"/>
    </row>
    <row r="2" spans="1:18" x14ac:dyDescent="0.35">
      <c r="A2" s="117" t="s">
        <v>0</v>
      </c>
      <c r="B2" s="119" t="s">
        <v>1</v>
      </c>
      <c r="C2" s="119"/>
      <c r="D2" s="119"/>
      <c r="E2" s="119"/>
      <c r="F2" s="94" t="s">
        <v>2</v>
      </c>
      <c r="G2" s="120" t="s">
        <v>3</v>
      </c>
      <c r="H2" s="94" t="s">
        <v>4</v>
      </c>
      <c r="I2" s="94" t="s">
        <v>5</v>
      </c>
      <c r="J2" s="94" t="s">
        <v>6</v>
      </c>
      <c r="K2" s="96" t="s">
        <v>7</v>
      </c>
    </row>
    <row r="3" spans="1:18" x14ac:dyDescent="0.35">
      <c r="A3" s="118"/>
      <c r="B3" s="27">
        <v>1</v>
      </c>
      <c r="C3" s="27">
        <v>2</v>
      </c>
      <c r="D3" s="27">
        <v>3</v>
      </c>
      <c r="E3" s="27">
        <v>4</v>
      </c>
      <c r="F3" s="95"/>
      <c r="G3" s="121"/>
      <c r="H3" s="95"/>
      <c r="I3" s="95"/>
      <c r="J3" s="95"/>
      <c r="K3" s="97"/>
    </row>
    <row r="4" spans="1:18" s="1" customFormat="1" ht="20.149999999999999" customHeight="1" thickBot="1" x14ac:dyDescent="0.6">
      <c r="A4" s="127" t="s">
        <v>8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18" x14ac:dyDescent="0.35">
      <c r="A5" s="28"/>
      <c r="B5" s="60"/>
      <c r="C5" s="52"/>
      <c r="D5" s="52"/>
      <c r="E5" s="53"/>
      <c r="F5" s="79" t="s">
        <v>143</v>
      </c>
      <c r="G5" s="35">
        <v>47.35</v>
      </c>
      <c r="H5" s="36">
        <v>35.99</v>
      </c>
      <c r="I5" s="28"/>
      <c r="J5" s="37">
        <f>(I5/G5)*H5</f>
        <v>0</v>
      </c>
      <c r="K5" s="38">
        <f>((SUM(A5:E5)/G5)-(I5/G5))*39</f>
        <v>0</v>
      </c>
    </row>
    <row r="6" spans="1:18" x14ac:dyDescent="0.35">
      <c r="A6" s="17"/>
      <c r="B6" s="61"/>
      <c r="C6" s="15"/>
      <c r="D6" s="15"/>
      <c r="E6" s="54"/>
      <c r="F6" s="51" t="s">
        <v>152</v>
      </c>
      <c r="G6" s="35">
        <v>63.4</v>
      </c>
      <c r="H6" s="36">
        <v>46.99</v>
      </c>
      <c r="I6" s="17"/>
      <c r="J6" s="37">
        <f t="shared" ref="J6:J55" si="0">(I6/G6)*H6</f>
        <v>0</v>
      </c>
      <c r="K6" s="38">
        <f>((SUM(A6:E6)/G6)-(I6/G6))*26</f>
        <v>0</v>
      </c>
    </row>
    <row r="7" spans="1:18" x14ac:dyDescent="0.35">
      <c r="A7" s="17"/>
      <c r="B7" s="61"/>
      <c r="C7" s="15"/>
      <c r="D7" s="15"/>
      <c r="E7" s="54"/>
      <c r="F7" s="50" t="s">
        <v>144</v>
      </c>
      <c r="G7" s="35">
        <v>43.65</v>
      </c>
      <c r="H7" s="36">
        <v>33.99</v>
      </c>
      <c r="I7" s="17"/>
      <c r="J7" s="37">
        <f t="shared" si="0"/>
        <v>0</v>
      </c>
      <c r="K7" s="38">
        <f t="shared" ref="K7:K13" si="1">((SUM(A7:E7)/G7)-(I7/G7))*39</f>
        <v>0</v>
      </c>
    </row>
    <row r="8" spans="1:18" x14ac:dyDescent="0.35">
      <c r="A8" s="17"/>
      <c r="B8" s="61"/>
      <c r="C8" s="15"/>
      <c r="D8" s="15"/>
      <c r="E8" s="54"/>
      <c r="F8" s="51"/>
      <c r="G8" s="35"/>
      <c r="H8" s="36"/>
      <c r="I8" s="17"/>
      <c r="J8" s="37" t="e">
        <f t="shared" si="0"/>
        <v>#DIV/0!</v>
      </c>
      <c r="K8" s="38" t="e">
        <f t="shared" si="1"/>
        <v>#DIV/0!</v>
      </c>
    </row>
    <row r="9" spans="1:18" x14ac:dyDescent="0.35">
      <c r="A9" s="135" t="s">
        <v>73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8" x14ac:dyDescent="0.35">
      <c r="A10" s="17"/>
      <c r="B10" s="61"/>
      <c r="C10" s="15"/>
      <c r="D10" s="15"/>
      <c r="E10" s="54"/>
      <c r="F10" s="51" t="s">
        <v>145</v>
      </c>
      <c r="G10" s="35">
        <v>39.200000000000003</v>
      </c>
      <c r="H10" s="36">
        <v>44.99</v>
      </c>
      <c r="I10" s="17"/>
      <c r="J10" s="37">
        <f t="shared" si="0"/>
        <v>0</v>
      </c>
      <c r="K10" s="38">
        <f t="shared" si="1"/>
        <v>0</v>
      </c>
    </row>
    <row r="11" spans="1:18" x14ac:dyDescent="0.35">
      <c r="A11" s="17"/>
      <c r="B11" s="61"/>
      <c r="C11" s="15"/>
      <c r="D11" s="15"/>
      <c r="E11" s="54"/>
      <c r="F11" s="51" t="s">
        <v>146</v>
      </c>
      <c r="G11" s="35">
        <v>38.200000000000003</v>
      </c>
      <c r="H11" s="36">
        <v>26.99</v>
      </c>
      <c r="I11" s="17"/>
      <c r="J11" s="37">
        <f t="shared" si="0"/>
        <v>0</v>
      </c>
      <c r="K11" s="38">
        <f t="shared" si="1"/>
        <v>0</v>
      </c>
    </row>
    <row r="12" spans="1:18" x14ac:dyDescent="0.35">
      <c r="A12" s="17"/>
      <c r="B12" s="61"/>
      <c r="C12" s="15"/>
      <c r="D12" s="15"/>
      <c r="E12" s="54"/>
      <c r="F12" s="51" t="s">
        <v>147</v>
      </c>
      <c r="G12" s="35">
        <v>44.15</v>
      </c>
      <c r="H12" s="36">
        <v>56.99</v>
      </c>
      <c r="I12" s="17"/>
      <c r="J12" s="37">
        <f t="shared" si="0"/>
        <v>0</v>
      </c>
      <c r="K12" s="38">
        <f t="shared" si="1"/>
        <v>0</v>
      </c>
    </row>
    <row r="13" spans="1:18" x14ac:dyDescent="0.35">
      <c r="A13" s="17"/>
      <c r="B13" s="61"/>
      <c r="C13" s="15"/>
      <c r="D13" s="15"/>
      <c r="E13" s="54"/>
      <c r="F13" s="51" t="s">
        <v>148</v>
      </c>
      <c r="G13" s="35">
        <v>47.95</v>
      </c>
      <c r="H13" s="36">
        <v>99.99</v>
      </c>
      <c r="I13" s="17"/>
      <c r="J13" s="37">
        <f t="shared" si="0"/>
        <v>0</v>
      </c>
      <c r="K13" s="38">
        <f t="shared" si="1"/>
        <v>0</v>
      </c>
    </row>
    <row r="14" spans="1:18" x14ac:dyDescent="0.35">
      <c r="A14" s="135" t="s">
        <v>74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7"/>
    </row>
    <row r="15" spans="1:18" x14ac:dyDescent="0.35">
      <c r="A15" s="17"/>
      <c r="B15" s="61"/>
      <c r="C15" s="15"/>
      <c r="D15" s="15"/>
      <c r="E15" s="54"/>
      <c r="F15" s="51" t="s">
        <v>153</v>
      </c>
      <c r="G15" s="35"/>
      <c r="H15" s="36">
        <v>41.99</v>
      </c>
      <c r="I15" s="17"/>
      <c r="J15" s="37" t="e">
        <f t="shared" si="0"/>
        <v>#DIV/0!</v>
      </c>
      <c r="K15" s="38" t="e">
        <f>((SUM(A15:E15)/G15)-(I15/G15))*39</f>
        <v>#DIV/0!</v>
      </c>
    </row>
    <row r="16" spans="1:18" x14ac:dyDescent="0.35">
      <c r="A16" s="17"/>
      <c r="B16" s="61"/>
      <c r="C16" s="15"/>
      <c r="D16" s="15"/>
      <c r="E16" s="54"/>
      <c r="F16" s="51" t="s">
        <v>75</v>
      </c>
      <c r="G16" s="35">
        <v>47.25</v>
      </c>
      <c r="H16" s="36">
        <v>30.99</v>
      </c>
      <c r="I16" s="17"/>
      <c r="J16" s="37">
        <f t="shared" si="0"/>
        <v>0</v>
      </c>
      <c r="K16" s="38">
        <f>((SUM(A16:E16)/G16)-(I16/G16))*39</f>
        <v>0</v>
      </c>
    </row>
    <row r="17" spans="1:11" x14ac:dyDescent="0.35">
      <c r="A17" s="17"/>
      <c r="B17" s="61"/>
      <c r="C17" s="15"/>
      <c r="D17" s="15"/>
      <c r="E17" s="54"/>
      <c r="F17" s="51" t="s">
        <v>213</v>
      </c>
      <c r="G17" s="35">
        <v>42.75</v>
      </c>
      <c r="H17" s="36">
        <v>27.99</v>
      </c>
      <c r="I17" s="17"/>
      <c r="J17" s="37">
        <f t="shared" si="0"/>
        <v>0</v>
      </c>
      <c r="K17" s="38">
        <f>((SUM(A17:E17)/G17)-(I17/G17))*26</f>
        <v>0</v>
      </c>
    </row>
    <row r="18" spans="1:11" x14ac:dyDescent="0.35">
      <c r="A18" s="17"/>
      <c r="B18" s="61"/>
      <c r="C18" s="15"/>
      <c r="D18" s="15"/>
      <c r="E18" s="54"/>
      <c r="F18" s="51" t="s">
        <v>214</v>
      </c>
      <c r="G18" s="35">
        <v>45</v>
      </c>
      <c r="H18" s="36">
        <v>26.99</v>
      </c>
      <c r="I18" s="17"/>
      <c r="J18" s="37">
        <f t="shared" si="0"/>
        <v>0</v>
      </c>
      <c r="K18" s="38">
        <f>((SUM(A18:E18)/G18)-(I18/G18))*26</f>
        <v>0</v>
      </c>
    </row>
    <row r="19" spans="1:11" x14ac:dyDescent="0.35">
      <c r="A19" s="17"/>
      <c r="B19" s="61"/>
      <c r="C19" s="15"/>
      <c r="D19" s="15"/>
      <c r="E19" s="54"/>
      <c r="F19" s="51" t="s">
        <v>77</v>
      </c>
      <c r="G19" s="35">
        <v>51.1</v>
      </c>
      <c r="H19" s="36">
        <v>36.99</v>
      </c>
      <c r="I19" s="17"/>
      <c r="J19" s="37">
        <f t="shared" si="0"/>
        <v>0</v>
      </c>
      <c r="K19" s="38">
        <f t="shared" ref="K19:K26" si="2">((SUM(A19:E19)/G19)-(I19/G19))*39</f>
        <v>0</v>
      </c>
    </row>
    <row r="20" spans="1:11" x14ac:dyDescent="0.35">
      <c r="A20" s="17"/>
      <c r="B20" s="61"/>
      <c r="C20" s="15"/>
      <c r="D20" s="15"/>
      <c r="E20" s="54"/>
      <c r="F20" s="51" t="s">
        <v>155</v>
      </c>
      <c r="G20" s="35">
        <v>59.25</v>
      </c>
      <c r="H20" s="36">
        <v>22.99</v>
      </c>
      <c r="I20" s="17"/>
      <c r="J20" s="37">
        <f t="shared" si="0"/>
        <v>0</v>
      </c>
      <c r="K20" s="38">
        <f t="shared" si="2"/>
        <v>0</v>
      </c>
    </row>
    <row r="21" spans="1:11" x14ac:dyDescent="0.35">
      <c r="A21" s="17"/>
      <c r="B21" s="61"/>
      <c r="C21" s="15"/>
      <c r="D21" s="15"/>
      <c r="E21" s="54"/>
      <c r="F21" s="51" t="s">
        <v>215</v>
      </c>
      <c r="G21" s="35">
        <v>53.05</v>
      </c>
      <c r="H21" s="36">
        <v>36.99</v>
      </c>
      <c r="I21" s="17"/>
      <c r="J21" s="37">
        <f t="shared" si="0"/>
        <v>0</v>
      </c>
      <c r="K21" s="38">
        <f t="shared" si="2"/>
        <v>0</v>
      </c>
    </row>
    <row r="22" spans="1:11" x14ac:dyDescent="0.35">
      <c r="A22" s="138" t="s">
        <v>78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</row>
    <row r="23" spans="1:11" x14ac:dyDescent="0.35">
      <c r="A23" s="17"/>
      <c r="B23" s="61"/>
      <c r="C23" s="15"/>
      <c r="D23" s="15"/>
      <c r="E23" s="54"/>
      <c r="F23" s="51" t="s">
        <v>79</v>
      </c>
      <c r="G23" s="35">
        <v>45.95</v>
      </c>
      <c r="H23" s="36">
        <v>39.99</v>
      </c>
      <c r="I23" s="17"/>
      <c r="J23" s="37">
        <f t="shared" si="0"/>
        <v>0</v>
      </c>
      <c r="K23" s="38">
        <f t="shared" si="2"/>
        <v>0</v>
      </c>
    </row>
    <row r="24" spans="1:11" x14ac:dyDescent="0.35">
      <c r="A24" s="17"/>
      <c r="B24" s="61"/>
      <c r="C24" s="15"/>
      <c r="D24" s="15"/>
      <c r="E24" s="54"/>
      <c r="F24" s="51" t="s">
        <v>80</v>
      </c>
      <c r="G24" s="35">
        <v>46.1</v>
      </c>
      <c r="H24" s="36">
        <v>49.99</v>
      </c>
      <c r="I24" s="17"/>
      <c r="J24" s="37">
        <f t="shared" si="0"/>
        <v>0</v>
      </c>
      <c r="K24" s="38">
        <f t="shared" si="2"/>
        <v>0</v>
      </c>
    </row>
    <row r="25" spans="1:11" x14ac:dyDescent="0.35">
      <c r="A25" s="138" t="s">
        <v>81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1" x14ac:dyDescent="0.35">
      <c r="A26" s="17"/>
      <c r="B26" s="61"/>
      <c r="C26" s="15"/>
      <c r="D26" s="15"/>
      <c r="E26" s="54"/>
      <c r="F26" s="51" t="s">
        <v>149</v>
      </c>
      <c r="G26" s="35">
        <v>43.6</v>
      </c>
      <c r="H26" s="36">
        <v>23.99</v>
      </c>
      <c r="I26" s="17"/>
      <c r="J26" s="37">
        <f t="shared" si="0"/>
        <v>0</v>
      </c>
      <c r="K26" s="38">
        <f t="shared" si="2"/>
        <v>0</v>
      </c>
    </row>
    <row r="27" spans="1:11" x14ac:dyDescent="0.35">
      <c r="A27" s="17"/>
      <c r="B27" s="61"/>
      <c r="C27" s="15"/>
      <c r="D27" s="15"/>
      <c r="E27" s="54"/>
      <c r="F27" s="51" t="s">
        <v>82</v>
      </c>
      <c r="G27" s="35">
        <v>66.55</v>
      </c>
      <c r="H27" s="36">
        <v>29.99</v>
      </c>
      <c r="I27" s="17"/>
      <c r="J27" s="37">
        <f t="shared" si="0"/>
        <v>0</v>
      </c>
      <c r="K27" s="38">
        <f>((SUM(A27:E27)/G27)-(I27/G27))*26</f>
        <v>0</v>
      </c>
    </row>
    <row r="28" spans="1:11" x14ac:dyDescent="0.35">
      <c r="A28" s="17"/>
      <c r="B28" s="61"/>
      <c r="C28" s="15"/>
      <c r="D28" s="15"/>
      <c r="E28" s="54"/>
      <c r="F28" s="51" t="s">
        <v>83</v>
      </c>
      <c r="G28" s="35"/>
      <c r="H28" s="36">
        <v>26.99</v>
      </c>
      <c r="I28" s="17"/>
      <c r="J28" s="37" t="e">
        <f t="shared" si="0"/>
        <v>#DIV/0!</v>
      </c>
      <c r="K28" s="38" t="e">
        <f>((SUM(A28:E28)/G28)-(I28/G28))*26</f>
        <v>#DIV/0!</v>
      </c>
    </row>
    <row r="29" spans="1:11" x14ac:dyDescent="0.35">
      <c r="A29" s="17"/>
      <c r="B29" s="61"/>
      <c r="C29" s="15"/>
      <c r="D29" s="15"/>
      <c r="E29" s="54"/>
      <c r="F29" s="51" t="s">
        <v>84</v>
      </c>
      <c r="G29" s="35">
        <v>45.1</v>
      </c>
      <c r="H29" s="36">
        <v>49.99</v>
      </c>
      <c r="I29" s="17"/>
      <c r="J29" s="37">
        <f t="shared" si="0"/>
        <v>0</v>
      </c>
      <c r="K29" s="38">
        <f>((SUM(A29:E29)/G29)-(I29/G29))*26</f>
        <v>0</v>
      </c>
    </row>
    <row r="30" spans="1:11" x14ac:dyDescent="0.35">
      <c r="A30" s="17"/>
      <c r="B30" s="61"/>
      <c r="C30" s="15"/>
      <c r="D30" s="15"/>
      <c r="E30" s="54"/>
      <c r="F30" s="51" t="s">
        <v>85</v>
      </c>
      <c r="G30" s="35">
        <v>45.45</v>
      </c>
      <c r="H30" s="36">
        <v>28.99</v>
      </c>
      <c r="I30" s="17"/>
      <c r="J30" s="37">
        <f t="shared" si="0"/>
        <v>0</v>
      </c>
      <c r="K30" s="38">
        <f>((SUM(A30:E30)/G30)-(I30/G30))*39</f>
        <v>0</v>
      </c>
    </row>
    <row r="31" spans="1:11" x14ac:dyDescent="0.35">
      <c r="A31" s="138" t="s">
        <v>86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40"/>
    </row>
    <row r="32" spans="1:11" x14ac:dyDescent="0.35">
      <c r="A32" s="17"/>
      <c r="B32" s="55"/>
      <c r="C32" s="16"/>
      <c r="D32" s="16"/>
      <c r="E32" s="56"/>
      <c r="F32" s="51" t="s">
        <v>87</v>
      </c>
      <c r="G32" s="35">
        <v>44.1</v>
      </c>
      <c r="H32" s="36">
        <v>25.99</v>
      </c>
      <c r="I32" s="17"/>
      <c r="J32" s="37">
        <f t="shared" si="0"/>
        <v>0</v>
      </c>
      <c r="K32" s="38">
        <f>((SUM(A32:E32)/G32)-(I32/G32))*26</f>
        <v>0</v>
      </c>
    </row>
    <row r="33" spans="1:11" x14ac:dyDescent="0.35">
      <c r="A33" s="17"/>
      <c r="B33" s="55"/>
      <c r="C33" s="16"/>
      <c r="D33" s="16"/>
      <c r="E33" s="56"/>
      <c r="F33" s="51" t="s">
        <v>216</v>
      </c>
      <c r="G33" s="35">
        <v>41.65</v>
      </c>
      <c r="H33" s="36">
        <v>24.99</v>
      </c>
      <c r="I33" s="17"/>
      <c r="J33" s="37">
        <f t="shared" si="0"/>
        <v>0</v>
      </c>
      <c r="K33" s="38">
        <f>((SUM(A33:E33)/G33)-(I33/G33))*26</f>
        <v>0</v>
      </c>
    </row>
    <row r="34" spans="1:11" x14ac:dyDescent="0.35">
      <c r="A34" s="17"/>
      <c r="B34" s="55"/>
      <c r="C34" s="16"/>
      <c r="D34" s="16"/>
      <c r="E34" s="56"/>
      <c r="F34" s="51" t="s">
        <v>217</v>
      </c>
      <c r="G34" s="35">
        <v>53.4</v>
      </c>
      <c r="H34" s="36">
        <v>36.99</v>
      </c>
      <c r="I34" s="17"/>
      <c r="J34" s="37">
        <f>(I34/G34)*H34</f>
        <v>0</v>
      </c>
      <c r="K34" s="38">
        <f>((SUM(A34:E34)/G34)-(I34/G34))*26</f>
        <v>0</v>
      </c>
    </row>
    <row r="35" spans="1:11" x14ac:dyDescent="0.35">
      <c r="A35" s="17"/>
      <c r="B35" s="55"/>
      <c r="C35" s="16"/>
      <c r="D35" s="16"/>
      <c r="E35" s="56"/>
      <c r="F35" s="51" t="s">
        <v>218</v>
      </c>
      <c r="G35" s="35">
        <v>60.25</v>
      </c>
      <c r="H35" s="36">
        <v>57.99</v>
      </c>
      <c r="I35" s="17"/>
      <c r="J35" s="37">
        <f t="shared" si="0"/>
        <v>0</v>
      </c>
      <c r="K35" s="38">
        <f>((SUM(A35:E35)/G35)-(I35/G35))*26</f>
        <v>0</v>
      </c>
    </row>
    <row r="36" spans="1:11" x14ac:dyDescent="0.35">
      <c r="A36" s="17"/>
      <c r="B36" s="55"/>
      <c r="C36" s="16"/>
      <c r="D36" s="16"/>
      <c r="E36" s="56"/>
      <c r="F36" s="51" t="s">
        <v>219</v>
      </c>
      <c r="G36" s="35">
        <v>59.75</v>
      </c>
      <c r="H36" s="36">
        <v>36.99</v>
      </c>
      <c r="I36" s="17"/>
      <c r="J36" s="37">
        <f t="shared" si="0"/>
        <v>0</v>
      </c>
      <c r="K36" s="38">
        <f>((SUM(A36:E36)/G36)-(I36/G36))*13</f>
        <v>0</v>
      </c>
    </row>
    <row r="37" spans="1:11" x14ac:dyDescent="0.35">
      <c r="A37" s="17"/>
      <c r="B37" s="76"/>
      <c r="C37" s="77"/>
      <c r="D37" s="77"/>
      <c r="E37" s="78"/>
      <c r="F37" s="51" t="s">
        <v>220</v>
      </c>
      <c r="G37" s="35">
        <v>41.05</v>
      </c>
      <c r="H37" s="36">
        <v>22.99</v>
      </c>
      <c r="I37" s="17"/>
      <c r="J37" s="37">
        <f t="shared" si="0"/>
        <v>0</v>
      </c>
      <c r="K37" s="38">
        <f>((SUM(A37:E37)/G37)-(I37/G37))*39</f>
        <v>0</v>
      </c>
    </row>
    <row r="38" spans="1:11" x14ac:dyDescent="0.35">
      <c r="A38" s="141" t="s">
        <v>90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3"/>
    </row>
    <row r="39" spans="1:11" x14ac:dyDescent="0.35">
      <c r="A39" s="17"/>
      <c r="B39" s="55"/>
      <c r="C39" s="16"/>
      <c r="D39" s="16"/>
      <c r="E39" s="56"/>
      <c r="F39" s="50" t="s">
        <v>92</v>
      </c>
      <c r="G39" s="35">
        <v>61.95</v>
      </c>
      <c r="H39" s="36">
        <v>34.99</v>
      </c>
      <c r="I39" s="17"/>
      <c r="J39" s="37">
        <f t="shared" si="0"/>
        <v>0</v>
      </c>
      <c r="K39" s="38">
        <f t="shared" ref="K39:K55" si="3">((SUM(A39:E39)/G39)-(I39/G39))*39</f>
        <v>0</v>
      </c>
    </row>
    <row r="40" spans="1:11" x14ac:dyDescent="0.35">
      <c r="A40" s="17"/>
      <c r="B40" s="55"/>
      <c r="C40" s="16"/>
      <c r="D40" s="16"/>
      <c r="E40" s="56"/>
      <c r="F40" s="50" t="s">
        <v>163</v>
      </c>
      <c r="G40" s="35"/>
      <c r="H40" s="36"/>
      <c r="I40" s="17"/>
      <c r="J40" s="37" t="e">
        <f t="shared" si="0"/>
        <v>#DIV/0!</v>
      </c>
      <c r="K40" s="38" t="e">
        <f t="shared" ref="K40:K41" si="4">((SUM(A40:E40)/G40)-(I40/G40))*39</f>
        <v>#DIV/0!</v>
      </c>
    </row>
    <row r="41" spans="1:11" x14ac:dyDescent="0.35">
      <c r="A41" s="17"/>
      <c r="B41" s="55"/>
      <c r="C41" s="16"/>
      <c r="D41" s="16"/>
      <c r="E41" s="56"/>
      <c r="F41" s="50" t="s">
        <v>160</v>
      </c>
      <c r="G41" s="35">
        <v>43.45</v>
      </c>
      <c r="H41" s="36">
        <v>34.99</v>
      </c>
      <c r="I41" s="17"/>
      <c r="J41" s="37">
        <f t="shared" si="0"/>
        <v>0</v>
      </c>
      <c r="K41" s="38">
        <f t="shared" si="4"/>
        <v>0</v>
      </c>
    </row>
    <row r="42" spans="1:11" x14ac:dyDescent="0.35">
      <c r="A42" s="17"/>
      <c r="B42" s="55"/>
      <c r="C42" s="16"/>
      <c r="D42" s="16"/>
      <c r="E42" s="56"/>
      <c r="F42" s="50" t="s">
        <v>91</v>
      </c>
      <c r="G42" s="35">
        <v>50.85</v>
      </c>
      <c r="H42" s="36">
        <v>59.99</v>
      </c>
      <c r="I42" s="17"/>
      <c r="J42" s="37">
        <f t="shared" si="0"/>
        <v>0</v>
      </c>
      <c r="K42" s="38">
        <f t="shared" si="3"/>
        <v>0</v>
      </c>
    </row>
    <row r="43" spans="1:11" x14ac:dyDescent="0.35">
      <c r="A43" s="17"/>
      <c r="B43" s="55">
        <v>1</v>
      </c>
      <c r="C43" s="16"/>
      <c r="D43" s="16"/>
      <c r="E43" s="56"/>
      <c r="F43" s="50" t="s">
        <v>151</v>
      </c>
      <c r="G43" s="35">
        <v>47.3</v>
      </c>
      <c r="H43" s="36">
        <v>29.99</v>
      </c>
      <c r="I43" s="17"/>
      <c r="J43" s="37">
        <f t="shared" si="0"/>
        <v>0</v>
      </c>
      <c r="K43" s="38">
        <f t="shared" si="3"/>
        <v>0.82452431289640593</v>
      </c>
    </row>
    <row r="44" spans="1:11" x14ac:dyDescent="0.35">
      <c r="A44" s="138" t="s">
        <v>93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40"/>
    </row>
    <row r="45" spans="1:11" x14ac:dyDescent="0.35">
      <c r="A45" s="17"/>
      <c r="B45" s="55"/>
      <c r="C45" s="16"/>
      <c r="D45" s="16"/>
      <c r="E45" s="56"/>
      <c r="F45" s="50" t="s">
        <v>94</v>
      </c>
      <c r="G45" s="35">
        <v>43.8</v>
      </c>
      <c r="H45" s="36">
        <v>26.99</v>
      </c>
      <c r="I45" s="17"/>
      <c r="J45" s="37">
        <f t="shared" si="0"/>
        <v>0</v>
      </c>
      <c r="K45" s="38">
        <f t="shared" si="3"/>
        <v>0</v>
      </c>
    </row>
    <row r="46" spans="1:11" x14ac:dyDescent="0.35">
      <c r="A46" s="17"/>
      <c r="B46" s="55"/>
      <c r="C46" s="16"/>
      <c r="D46" s="16"/>
      <c r="E46" s="56"/>
      <c r="F46" s="50" t="s">
        <v>95</v>
      </c>
      <c r="G46" s="35">
        <v>43.8</v>
      </c>
      <c r="H46" s="36">
        <v>28.99</v>
      </c>
      <c r="I46" s="17"/>
      <c r="J46" s="37">
        <f t="shared" si="0"/>
        <v>0</v>
      </c>
      <c r="K46" s="38">
        <f t="shared" si="3"/>
        <v>0</v>
      </c>
    </row>
    <row r="47" spans="1:11" x14ac:dyDescent="0.35">
      <c r="A47" s="17"/>
      <c r="B47" s="55"/>
      <c r="C47" s="16"/>
      <c r="D47" s="16"/>
      <c r="E47" s="56"/>
      <c r="F47" s="50" t="s">
        <v>69</v>
      </c>
      <c r="G47" s="35">
        <v>50.4</v>
      </c>
      <c r="H47" s="36">
        <v>44.99</v>
      </c>
      <c r="I47" s="17"/>
      <c r="J47" s="37">
        <f t="shared" si="0"/>
        <v>0</v>
      </c>
      <c r="K47" s="38">
        <f t="shared" si="3"/>
        <v>0</v>
      </c>
    </row>
    <row r="48" spans="1:11" x14ac:dyDescent="0.35">
      <c r="A48" s="17"/>
      <c r="B48" s="55"/>
      <c r="C48" s="16"/>
      <c r="D48" s="16"/>
      <c r="E48" s="56"/>
      <c r="F48" s="50" t="s">
        <v>96</v>
      </c>
      <c r="G48" s="35">
        <v>61.3</v>
      </c>
      <c r="H48" s="36">
        <v>33.99</v>
      </c>
      <c r="I48" s="17"/>
      <c r="J48" s="37">
        <f t="shared" si="0"/>
        <v>0</v>
      </c>
      <c r="K48" s="38">
        <f t="shared" si="3"/>
        <v>0</v>
      </c>
    </row>
    <row r="49" spans="1:11" x14ac:dyDescent="0.35">
      <c r="A49" s="17"/>
      <c r="B49" s="55"/>
      <c r="C49" s="16"/>
      <c r="D49" s="16"/>
      <c r="E49" s="56"/>
      <c r="F49" s="50" t="s">
        <v>97</v>
      </c>
      <c r="G49" s="35">
        <v>50.25</v>
      </c>
      <c r="H49" s="36">
        <v>27.99</v>
      </c>
      <c r="I49" s="17"/>
      <c r="J49" s="37">
        <f t="shared" si="0"/>
        <v>0</v>
      </c>
      <c r="K49" s="38">
        <f t="shared" si="3"/>
        <v>0</v>
      </c>
    </row>
    <row r="50" spans="1:11" x14ac:dyDescent="0.35">
      <c r="A50" s="17"/>
      <c r="B50" s="55"/>
      <c r="C50" s="16"/>
      <c r="D50" s="16"/>
      <c r="E50" s="56"/>
      <c r="F50" s="50" t="s">
        <v>98</v>
      </c>
      <c r="G50" s="35">
        <v>42.45</v>
      </c>
      <c r="H50" s="36">
        <v>27.99</v>
      </c>
      <c r="I50" s="17"/>
      <c r="J50" s="37">
        <f t="shared" si="0"/>
        <v>0</v>
      </c>
      <c r="K50" s="38">
        <f t="shared" si="3"/>
        <v>0</v>
      </c>
    </row>
    <row r="51" spans="1:11" x14ac:dyDescent="0.35">
      <c r="A51" s="17"/>
      <c r="B51" s="55"/>
      <c r="C51" s="16"/>
      <c r="D51" s="16"/>
      <c r="E51" s="56"/>
      <c r="F51" s="50" t="s">
        <v>158</v>
      </c>
      <c r="G51" s="35">
        <v>42.45</v>
      </c>
      <c r="H51" s="36">
        <v>27.99</v>
      </c>
      <c r="I51" s="17"/>
      <c r="J51" s="37">
        <f t="shared" si="0"/>
        <v>0</v>
      </c>
      <c r="K51" s="38">
        <f t="shared" si="3"/>
        <v>0</v>
      </c>
    </row>
    <row r="52" spans="1:11" x14ac:dyDescent="0.35">
      <c r="A52" s="17"/>
      <c r="B52" s="55"/>
      <c r="C52" s="16"/>
      <c r="D52" s="16"/>
      <c r="E52" s="56"/>
      <c r="F52" s="50" t="s">
        <v>159</v>
      </c>
      <c r="G52" s="35"/>
      <c r="H52" s="36">
        <v>31.99</v>
      </c>
      <c r="I52" s="17"/>
      <c r="J52" s="37" t="e">
        <f t="shared" si="0"/>
        <v>#DIV/0!</v>
      </c>
      <c r="K52" s="38" t="e">
        <f t="shared" si="3"/>
        <v>#DIV/0!</v>
      </c>
    </row>
    <row r="53" spans="1:11" x14ac:dyDescent="0.35">
      <c r="A53" s="17"/>
      <c r="B53" s="55"/>
      <c r="C53" s="16"/>
      <c r="D53" s="16"/>
      <c r="E53" s="56"/>
      <c r="F53" s="50" t="s">
        <v>176</v>
      </c>
      <c r="G53" s="35"/>
      <c r="H53" s="36"/>
      <c r="I53" s="17"/>
      <c r="J53" s="37" t="e">
        <f t="shared" si="0"/>
        <v>#DIV/0!</v>
      </c>
      <c r="K53" s="38" t="e">
        <f t="shared" si="3"/>
        <v>#DIV/0!</v>
      </c>
    </row>
    <row r="54" spans="1:11" x14ac:dyDescent="0.35">
      <c r="A54" s="17"/>
      <c r="B54" s="55"/>
      <c r="C54" s="16"/>
      <c r="D54" s="16"/>
      <c r="E54" s="56"/>
      <c r="F54" s="50" t="s">
        <v>180</v>
      </c>
      <c r="G54" s="35">
        <v>48.45</v>
      </c>
      <c r="H54" s="36">
        <v>34.99</v>
      </c>
      <c r="I54" s="17"/>
      <c r="J54" s="37">
        <f t="shared" si="0"/>
        <v>0</v>
      </c>
      <c r="K54" s="38">
        <f t="shared" si="3"/>
        <v>0</v>
      </c>
    </row>
    <row r="55" spans="1:11" ht="15" thickBot="1" x14ac:dyDescent="0.4">
      <c r="A55" s="17"/>
      <c r="B55" s="57"/>
      <c r="C55" s="58"/>
      <c r="D55" s="58"/>
      <c r="E55" s="59"/>
      <c r="F55" s="50"/>
      <c r="G55" s="35"/>
      <c r="H55" s="36"/>
      <c r="I55" s="17"/>
      <c r="J55" s="37" t="e">
        <f t="shared" si="0"/>
        <v>#DIV/0!</v>
      </c>
      <c r="K55" s="38" t="e">
        <f t="shared" si="3"/>
        <v>#DIV/0!</v>
      </c>
    </row>
    <row r="56" spans="1:11" ht="20.149999999999999" customHeight="1" thickBot="1" x14ac:dyDescent="0.6">
      <c r="A56" s="130" t="s">
        <v>9</v>
      </c>
      <c r="B56" s="131"/>
      <c r="C56" s="131"/>
      <c r="D56" s="131"/>
      <c r="E56" s="131"/>
      <c r="F56" s="132"/>
      <c r="G56" s="132"/>
      <c r="H56" s="132"/>
      <c r="I56" s="133"/>
      <c r="J56" s="126">
        <v>1713.9906492157534</v>
      </c>
      <c r="K56" s="88"/>
    </row>
    <row r="57" spans="1:11" ht="20.149999999999999" customHeight="1" thickBot="1" x14ac:dyDescent="0.6">
      <c r="A57" s="130" t="s">
        <v>10</v>
      </c>
      <c r="B57" s="132"/>
      <c r="C57" s="132"/>
      <c r="D57" s="132"/>
      <c r="E57" s="132"/>
      <c r="F57" s="132"/>
      <c r="G57" s="132"/>
      <c r="H57" s="132"/>
      <c r="I57" s="134"/>
      <c r="J57" s="122">
        <v>0</v>
      </c>
      <c r="K57" s="90"/>
    </row>
    <row r="58" spans="1:11" ht="20.149999999999999" customHeight="1" thickBot="1" x14ac:dyDescent="0.6">
      <c r="A58" s="130" t="s">
        <v>55</v>
      </c>
      <c r="B58" s="132"/>
      <c r="C58" s="132"/>
      <c r="D58" s="132"/>
      <c r="E58" s="132"/>
      <c r="F58" s="132"/>
      <c r="G58" s="132"/>
      <c r="H58" s="132"/>
      <c r="I58" s="134"/>
      <c r="J58" s="89">
        <v>0</v>
      </c>
      <c r="K58" s="90"/>
    </row>
    <row r="59" spans="1:11" ht="20.149999999999999" customHeight="1" thickBot="1" x14ac:dyDescent="0.6">
      <c r="A59" s="130" t="s">
        <v>11</v>
      </c>
      <c r="B59" s="132"/>
      <c r="C59" s="132"/>
      <c r="D59" s="132"/>
      <c r="E59" s="132"/>
      <c r="F59" s="132"/>
      <c r="G59" s="132"/>
      <c r="H59" s="132"/>
      <c r="I59" s="134"/>
      <c r="J59" s="126" t="e">
        <f>SUM(J5:J55)</f>
        <v>#DIV/0!</v>
      </c>
      <c r="K59" s="88"/>
    </row>
    <row r="60" spans="1:11" ht="20.149999999999999" customHeight="1" thickBot="1" x14ac:dyDescent="0.6">
      <c r="A60" s="109" t="s">
        <v>12</v>
      </c>
      <c r="B60" s="110"/>
      <c r="C60" s="110"/>
      <c r="D60" s="110"/>
      <c r="E60" s="110"/>
      <c r="F60" s="110"/>
      <c r="G60" s="110"/>
      <c r="H60" s="110"/>
      <c r="I60" s="111"/>
      <c r="J60" s="122">
        <v>798.75</v>
      </c>
      <c r="K60" s="90"/>
    </row>
    <row r="61" spans="1:11" ht="20.149999999999999" customHeight="1" thickBot="1" x14ac:dyDescent="0.6">
      <c r="A61" s="123" t="s">
        <v>13</v>
      </c>
      <c r="B61" s="124"/>
      <c r="C61" s="124"/>
      <c r="D61" s="124"/>
      <c r="E61" s="124"/>
      <c r="F61" s="124"/>
      <c r="G61" s="124"/>
      <c r="H61" s="124"/>
      <c r="I61" s="125"/>
      <c r="J61" s="126" t="e">
        <f>J56+J57+J58-J59</f>
        <v>#DIV/0!</v>
      </c>
      <c r="K61" s="88"/>
    </row>
    <row r="62" spans="1:11" ht="20.149999999999999" customHeight="1" thickBot="1" x14ac:dyDescent="0.6">
      <c r="A62" s="109" t="s">
        <v>14</v>
      </c>
      <c r="B62" s="110"/>
      <c r="C62" s="110"/>
      <c r="D62" s="110"/>
      <c r="E62" s="110"/>
      <c r="F62" s="110"/>
      <c r="G62" s="110"/>
      <c r="H62" s="110"/>
      <c r="I62" s="111"/>
      <c r="J62" s="144" t="e">
        <f>J61/J60</f>
        <v>#DIV/0!</v>
      </c>
      <c r="K62" s="113"/>
    </row>
    <row r="63" spans="1:11" ht="20.149999999999999" customHeight="1" thickBot="1" x14ac:dyDescent="0.6">
      <c r="A63" s="109" t="s">
        <v>56</v>
      </c>
      <c r="B63" s="110"/>
      <c r="C63" s="110"/>
      <c r="D63" s="110"/>
      <c r="E63" s="110"/>
      <c r="F63" s="110"/>
      <c r="G63" s="110"/>
      <c r="H63" s="110"/>
      <c r="I63" s="111"/>
      <c r="J63" s="144" t="e">
        <f>((F223+F224+F226-J59)/F225)</f>
        <v>#DIV/0!</v>
      </c>
      <c r="K63" s="113"/>
    </row>
    <row r="64" spans="1:11" x14ac:dyDescent="0.35">
      <c r="A64" s="117" t="s">
        <v>0</v>
      </c>
      <c r="B64" s="119" t="s">
        <v>1</v>
      </c>
      <c r="C64" s="119"/>
      <c r="D64" s="119"/>
      <c r="E64" s="119"/>
      <c r="F64" s="94" t="s">
        <v>2</v>
      </c>
      <c r="G64" s="94" t="s">
        <v>3</v>
      </c>
      <c r="H64" s="94" t="s">
        <v>4</v>
      </c>
      <c r="I64" s="94" t="s">
        <v>5</v>
      </c>
      <c r="J64" s="94" t="s">
        <v>6</v>
      </c>
      <c r="K64" s="96" t="s">
        <v>7</v>
      </c>
    </row>
    <row r="65" spans="1:16" ht="20.149999999999999" customHeight="1" x14ac:dyDescent="0.35">
      <c r="A65" s="118"/>
      <c r="B65" s="27">
        <v>1</v>
      </c>
      <c r="C65" s="27">
        <v>2</v>
      </c>
      <c r="D65" s="27">
        <v>3</v>
      </c>
      <c r="E65" s="27">
        <v>4</v>
      </c>
      <c r="F65" s="95"/>
      <c r="G65" s="95"/>
      <c r="H65" s="95"/>
      <c r="I65" s="95"/>
      <c r="J65" s="95"/>
      <c r="K65" s="97"/>
    </row>
    <row r="66" spans="1:16" ht="24" thickBot="1" x14ac:dyDescent="0.6">
      <c r="A66" s="98" t="s">
        <v>122</v>
      </c>
      <c r="B66" s="99"/>
      <c r="C66" s="99"/>
      <c r="D66" s="99"/>
      <c r="E66" s="99"/>
      <c r="F66" s="99"/>
      <c r="G66" s="99"/>
      <c r="H66" s="99"/>
      <c r="I66" s="99"/>
      <c r="J66" s="100"/>
      <c r="K66" s="101"/>
    </row>
    <row r="67" spans="1:16" x14ac:dyDescent="0.35">
      <c r="A67" s="62"/>
      <c r="B67" s="14"/>
      <c r="C67" s="14"/>
      <c r="D67" s="14"/>
      <c r="E67" s="14"/>
      <c r="F67" s="34" t="s">
        <v>138</v>
      </c>
      <c r="G67" s="35"/>
      <c r="H67" s="36">
        <v>22.99</v>
      </c>
      <c r="I67" s="28"/>
      <c r="J67" s="39">
        <f>I67*H67</f>
        <v>0</v>
      </c>
      <c r="K67" s="40">
        <f>(SUM(A67:E67))-I67</f>
        <v>0</v>
      </c>
      <c r="O67" s="49"/>
      <c r="P67" s="49"/>
    </row>
    <row r="68" spans="1:16" x14ac:dyDescent="0.35">
      <c r="A68" s="62"/>
      <c r="B68" s="14"/>
      <c r="C68" s="14"/>
      <c r="D68" s="14"/>
      <c r="E68" s="14"/>
      <c r="F68" s="34" t="s">
        <v>221</v>
      </c>
      <c r="G68" s="35">
        <v>69.75</v>
      </c>
      <c r="H68" s="36"/>
      <c r="I68" s="28"/>
      <c r="J68" s="39">
        <f>I68*H68</f>
        <v>0</v>
      </c>
      <c r="K68" s="40">
        <f>(SUM(A68:E68))-I68</f>
        <v>0</v>
      </c>
      <c r="O68" s="49"/>
      <c r="P68" s="49"/>
    </row>
    <row r="69" spans="1:16" x14ac:dyDescent="0.35">
      <c r="A69" s="62"/>
      <c r="B69" s="14"/>
      <c r="C69" s="14"/>
      <c r="D69" s="14"/>
      <c r="E69" s="14"/>
      <c r="F69" s="34" t="s">
        <v>126</v>
      </c>
      <c r="G69" s="35">
        <v>49.65</v>
      </c>
      <c r="H69" s="36"/>
      <c r="I69" s="28"/>
      <c r="J69" s="39">
        <f t="shared" ref="J69:J96" si="5">I69*H69</f>
        <v>0</v>
      </c>
      <c r="K69" s="40">
        <f t="shared" ref="K69:K96" si="6">(SUM(A69:E69))-I69</f>
        <v>0</v>
      </c>
      <c r="O69" s="49"/>
      <c r="P69" s="49"/>
    </row>
    <row r="70" spans="1:16" x14ac:dyDescent="0.35">
      <c r="A70" s="62"/>
      <c r="B70" s="14"/>
      <c r="C70" s="14"/>
      <c r="D70" s="14"/>
      <c r="E70" s="14"/>
      <c r="F70" s="34" t="s">
        <v>124</v>
      </c>
      <c r="G70" s="35">
        <v>41.9</v>
      </c>
      <c r="H70" s="36">
        <v>20.99</v>
      </c>
      <c r="I70" s="28"/>
      <c r="J70" s="39">
        <f t="shared" si="5"/>
        <v>0</v>
      </c>
      <c r="K70" s="40">
        <f t="shared" si="6"/>
        <v>0</v>
      </c>
      <c r="O70" s="49"/>
      <c r="P70" s="49"/>
    </row>
    <row r="71" spans="1:16" x14ac:dyDescent="0.35">
      <c r="A71" s="62"/>
      <c r="B71" s="14"/>
      <c r="C71" s="14"/>
      <c r="D71" s="14"/>
      <c r="E71" s="14"/>
      <c r="F71" s="34" t="s">
        <v>125</v>
      </c>
      <c r="G71" s="35">
        <v>41.9</v>
      </c>
      <c r="H71" s="36"/>
      <c r="I71" s="28"/>
      <c r="J71" s="39">
        <f t="shared" si="5"/>
        <v>0</v>
      </c>
      <c r="K71" s="40">
        <f t="shared" si="6"/>
        <v>0</v>
      </c>
      <c r="O71" s="49"/>
      <c r="P71" s="49"/>
    </row>
    <row r="72" spans="1:16" x14ac:dyDescent="0.35">
      <c r="A72" s="62"/>
      <c r="B72" s="14"/>
      <c r="C72" s="14"/>
      <c r="D72" s="14"/>
      <c r="E72" s="14"/>
      <c r="F72" s="34" t="s">
        <v>123</v>
      </c>
      <c r="G72" s="35">
        <v>41.9</v>
      </c>
      <c r="H72" s="36">
        <v>21.99</v>
      </c>
      <c r="I72" s="28"/>
      <c r="J72" s="39">
        <f t="shared" si="5"/>
        <v>0</v>
      </c>
      <c r="K72" s="40">
        <f t="shared" si="6"/>
        <v>0</v>
      </c>
      <c r="O72" s="49"/>
      <c r="P72" s="49"/>
    </row>
    <row r="73" spans="1:16" x14ac:dyDescent="0.35">
      <c r="A73" s="62"/>
      <c r="B73" s="14"/>
      <c r="C73" s="14"/>
      <c r="D73" s="14"/>
      <c r="E73" s="14"/>
      <c r="F73" s="34" t="s">
        <v>129</v>
      </c>
      <c r="G73" s="35"/>
      <c r="H73" s="36">
        <v>41.99</v>
      </c>
      <c r="I73" s="28"/>
      <c r="J73" s="39">
        <f t="shared" si="5"/>
        <v>0</v>
      </c>
      <c r="K73" s="40">
        <f t="shared" si="6"/>
        <v>0</v>
      </c>
      <c r="O73" s="49"/>
      <c r="P73" s="49"/>
    </row>
    <row r="74" spans="1:16" x14ac:dyDescent="0.35">
      <c r="A74" s="62"/>
      <c r="B74" s="14"/>
      <c r="C74" s="14"/>
      <c r="D74" s="14"/>
      <c r="E74" s="14"/>
      <c r="F74" s="34" t="s">
        <v>127</v>
      </c>
      <c r="G74" s="35">
        <v>49.4</v>
      </c>
      <c r="H74" s="36">
        <v>20.99</v>
      </c>
      <c r="I74" s="28"/>
      <c r="J74" s="39">
        <f t="shared" si="5"/>
        <v>0</v>
      </c>
      <c r="K74" s="40">
        <f t="shared" si="6"/>
        <v>0</v>
      </c>
      <c r="O74" s="49"/>
      <c r="P74" s="49"/>
    </row>
    <row r="75" spans="1:16" x14ac:dyDescent="0.35">
      <c r="A75" s="62"/>
      <c r="B75" s="14"/>
      <c r="C75" s="14"/>
      <c r="D75" s="14"/>
      <c r="E75" s="14"/>
      <c r="F75" s="34" t="s">
        <v>70</v>
      </c>
      <c r="G75" s="35">
        <v>50.65</v>
      </c>
      <c r="H75" s="36"/>
      <c r="I75" s="28"/>
      <c r="J75" s="39">
        <f t="shared" si="5"/>
        <v>0</v>
      </c>
      <c r="K75" s="40">
        <f t="shared" si="6"/>
        <v>0</v>
      </c>
      <c r="O75" s="49"/>
      <c r="P75" s="49"/>
    </row>
    <row r="76" spans="1:16" x14ac:dyDescent="0.35">
      <c r="A76" s="62"/>
      <c r="B76" s="14"/>
      <c r="C76" s="14"/>
      <c r="D76" s="14"/>
      <c r="E76" s="14"/>
      <c r="F76" s="34" t="s">
        <v>128</v>
      </c>
      <c r="G76" s="35">
        <v>50.45</v>
      </c>
      <c r="H76" s="36"/>
      <c r="I76" s="28"/>
      <c r="J76" s="39">
        <f t="shared" si="5"/>
        <v>0</v>
      </c>
      <c r="K76" s="40">
        <f t="shared" si="6"/>
        <v>0</v>
      </c>
      <c r="O76" s="49"/>
      <c r="P76" s="49"/>
    </row>
    <row r="77" spans="1:16" x14ac:dyDescent="0.35">
      <c r="A77" s="62"/>
      <c r="B77" s="14"/>
      <c r="C77" s="14"/>
      <c r="D77" s="14"/>
      <c r="E77" s="14"/>
      <c r="F77" s="34" t="s">
        <v>67</v>
      </c>
      <c r="G77" s="35">
        <v>53.7</v>
      </c>
      <c r="H77" s="36"/>
      <c r="I77" s="28"/>
      <c r="J77" s="39">
        <f t="shared" si="5"/>
        <v>0</v>
      </c>
      <c r="K77" s="40">
        <f t="shared" si="6"/>
        <v>0</v>
      </c>
      <c r="O77" s="49"/>
      <c r="P77" s="49"/>
    </row>
    <row r="78" spans="1:16" x14ac:dyDescent="0.35">
      <c r="A78" s="62"/>
      <c r="B78" s="14"/>
      <c r="C78" s="14"/>
      <c r="D78" s="14"/>
      <c r="E78" s="14"/>
      <c r="F78" s="34" t="s">
        <v>131</v>
      </c>
      <c r="G78" s="35">
        <v>49.5</v>
      </c>
      <c r="H78" s="36"/>
      <c r="I78" s="28"/>
      <c r="J78" s="39">
        <f t="shared" si="5"/>
        <v>0</v>
      </c>
      <c r="K78" s="40">
        <f t="shared" si="6"/>
        <v>0</v>
      </c>
      <c r="O78" s="49"/>
      <c r="P78" s="49"/>
    </row>
    <row r="79" spans="1:16" x14ac:dyDescent="0.35">
      <c r="A79" s="62"/>
      <c r="B79" s="14"/>
      <c r="C79" s="14"/>
      <c r="D79" s="14"/>
      <c r="E79" s="14"/>
      <c r="F79" s="34" t="s">
        <v>161</v>
      </c>
      <c r="G79" s="35">
        <v>59.45</v>
      </c>
      <c r="H79" s="36"/>
      <c r="I79" s="28"/>
      <c r="J79" s="39">
        <f t="shared" si="5"/>
        <v>0</v>
      </c>
      <c r="K79" s="40">
        <f t="shared" si="6"/>
        <v>0</v>
      </c>
      <c r="O79" s="49"/>
      <c r="P79" s="49"/>
    </row>
    <row r="80" spans="1:16" x14ac:dyDescent="0.35">
      <c r="A80" s="62"/>
      <c r="B80" s="14"/>
      <c r="C80" s="14"/>
      <c r="D80" s="14"/>
      <c r="E80" s="14"/>
      <c r="F80" s="34" t="s">
        <v>133</v>
      </c>
      <c r="G80" s="35">
        <v>54.55</v>
      </c>
      <c r="H80" s="36"/>
      <c r="I80" s="28"/>
      <c r="J80" s="39">
        <f t="shared" si="5"/>
        <v>0</v>
      </c>
      <c r="K80" s="40">
        <f t="shared" si="6"/>
        <v>0</v>
      </c>
      <c r="O80" s="49"/>
      <c r="P80" s="49"/>
    </row>
    <row r="81" spans="1:16" x14ac:dyDescent="0.35">
      <c r="A81" s="62"/>
      <c r="B81" s="14"/>
      <c r="C81" s="14"/>
      <c r="D81" s="14"/>
      <c r="E81" s="14"/>
      <c r="F81" s="34" t="s">
        <v>185</v>
      </c>
      <c r="G81" s="35">
        <v>41.4</v>
      </c>
      <c r="H81" s="36"/>
      <c r="I81" s="28"/>
      <c r="J81" s="39">
        <f t="shared" si="5"/>
        <v>0</v>
      </c>
      <c r="K81" s="40">
        <f t="shared" si="6"/>
        <v>0</v>
      </c>
      <c r="O81" s="49"/>
      <c r="P81" s="49"/>
    </row>
    <row r="82" spans="1:16" x14ac:dyDescent="0.35">
      <c r="A82" s="62"/>
      <c r="B82" s="14"/>
      <c r="C82" s="14"/>
      <c r="D82" s="14"/>
      <c r="E82" s="14"/>
      <c r="F82" s="34" t="s">
        <v>186</v>
      </c>
      <c r="G82" s="35">
        <v>63.45</v>
      </c>
      <c r="H82" s="36"/>
      <c r="I82" s="28"/>
      <c r="J82" s="39">
        <f t="shared" si="5"/>
        <v>0</v>
      </c>
      <c r="K82" s="40">
        <f t="shared" si="6"/>
        <v>0</v>
      </c>
      <c r="O82" s="49"/>
      <c r="P82" s="49"/>
    </row>
    <row r="83" spans="1:16" x14ac:dyDescent="0.35">
      <c r="A83" s="62"/>
      <c r="B83" s="14"/>
      <c r="C83" s="14"/>
      <c r="D83" s="14"/>
      <c r="E83" s="14"/>
      <c r="F83" s="34" t="s">
        <v>137</v>
      </c>
      <c r="G83" s="35">
        <v>48.1</v>
      </c>
      <c r="H83" s="36"/>
      <c r="I83" s="28"/>
      <c r="J83" s="39">
        <f t="shared" si="5"/>
        <v>0</v>
      </c>
      <c r="K83" s="40">
        <f t="shared" si="6"/>
        <v>0</v>
      </c>
      <c r="O83" s="49"/>
      <c r="P83" s="49"/>
    </row>
    <row r="84" spans="1:16" x14ac:dyDescent="0.35">
      <c r="A84" s="62"/>
      <c r="B84" s="14"/>
      <c r="C84" s="14"/>
      <c r="D84" s="14"/>
      <c r="E84" s="14"/>
      <c r="F84" s="34" t="s">
        <v>132</v>
      </c>
      <c r="G84" s="35">
        <v>50.4</v>
      </c>
      <c r="H84" s="36"/>
      <c r="I84" s="28"/>
      <c r="J84" s="39">
        <f t="shared" si="5"/>
        <v>0</v>
      </c>
      <c r="K84" s="40">
        <f t="shared" si="6"/>
        <v>0</v>
      </c>
      <c r="O84" s="49"/>
      <c r="P84" s="49"/>
    </row>
    <row r="85" spans="1:16" x14ac:dyDescent="0.35">
      <c r="A85" s="62"/>
      <c r="B85" s="14"/>
      <c r="C85" s="14"/>
      <c r="D85" s="14"/>
      <c r="E85" s="14"/>
      <c r="F85" s="34" t="s">
        <v>136</v>
      </c>
      <c r="G85" s="35">
        <v>48</v>
      </c>
      <c r="H85" s="36"/>
      <c r="I85" s="28"/>
      <c r="J85" s="39">
        <f t="shared" si="5"/>
        <v>0</v>
      </c>
      <c r="K85" s="40">
        <f t="shared" si="6"/>
        <v>0</v>
      </c>
      <c r="O85" s="49"/>
      <c r="P85" s="49"/>
    </row>
    <row r="86" spans="1:16" x14ac:dyDescent="0.35">
      <c r="A86" s="62"/>
      <c r="B86" s="14"/>
      <c r="C86" s="14"/>
      <c r="D86" s="14"/>
      <c r="E86" s="14"/>
      <c r="F86" s="34" t="s">
        <v>222</v>
      </c>
      <c r="G86" s="35"/>
      <c r="H86" s="36"/>
      <c r="I86" s="28"/>
      <c r="J86" s="39">
        <f t="shared" si="5"/>
        <v>0</v>
      </c>
      <c r="K86" s="40">
        <f t="shared" si="6"/>
        <v>0</v>
      </c>
      <c r="O86" s="49"/>
      <c r="P86" s="49"/>
    </row>
    <row r="87" spans="1:16" x14ac:dyDescent="0.35">
      <c r="A87" s="62"/>
      <c r="B87" s="14"/>
      <c r="C87" s="14"/>
      <c r="D87" s="14"/>
      <c r="E87" s="14"/>
      <c r="F87" s="34" t="s">
        <v>187</v>
      </c>
      <c r="G87" s="35"/>
      <c r="H87" s="36"/>
      <c r="I87" s="28"/>
      <c r="J87" s="39">
        <f t="shared" si="5"/>
        <v>0</v>
      </c>
      <c r="K87" s="40">
        <f t="shared" si="6"/>
        <v>0</v>
      </c>
      <c r="O87" s="49"/>
      <c r="P87" s="49"/>
    </row>
    <row r="88" spans="1:16" x14ac:dyDescent="0.35">
      <c r="A88" s="62"/>
      <c r="B88" s="14"/>
      <c r="C88" s="14"/>
      <c r="D88" s="14"/>
      <c r="E88" s="14"/>
      <c r="F88" s="34" t="s">
        <v>177</v>
      </c>
      <c r="G88" s="35">
        <v>42.75</v>
      </c>
      <c r="H88" s="36"/>
      <c r="I88" s="28"/>
      <c r="J88" s="39">
        <f t="shared" si="5"/>
        <v>0</v>
      </c>
      <c r="K88" s="40">
        <f t="shared" si="6"/>
        <v>0</v>
      </c>
      <c r="O88" s="49"/>
      <c r="P88" s="49"/>
    </row>
    <row r="89" spans="1:16" x14ac:dyDescent="0.35">
      <c r="A89" s="62"/>
      <c r="B89" s="14"/>
      <c r="C89" s="14"/>
      <c r="D89" s="14"/>
      <c r="E89" s="14"/>
      <c r="F89" s="34" t="s">
        <v>189</v>
      </c>
      <c r="G89" s="35">
        <v>42.35</v>
      </c>
      <c r="H89" s="36"/>
      <c r="I89" s="28"/>
      <c r="J89" s="39">
        <f t="shared" si="5"/>
        <v>0</v>
      </c>
      <c r="K89" s="40">
        <f t="shared" si="6"/>
        <v>0</v>
      </c>
      <c r="O89" s="49"/>
      <c r="P89" s="49"/>
    </row>
    <row r="90" spans="1:16" x14ac:dyDescent="0.35">
      <c r="A90" s="62"/>
      <c r="B90" s="14"/>
      <c r="C90" s="14"/>
      <c r="D90" s="14"/>
      <c r="E90" s="14"/>
      <c r="F90" s="34" t="s">
        <v>190</v>
      </c>
      <c r="G90" s="35">
        <v>41.15</v>
      </c>
      <c r="H90" s="36"/>
      <c r="I90" s="28"/>
      <c r="J90" s="39">
        <f t="shared" si="5"/>
        <v>0</v>
      </c>
      <c r="K90" s="40">
        <f t="shared" ref="K90:K95" si="7">(SUM(A90:E90))-I90</f>
        <v>0</v>
      </c>
      <c r="O90" s="49"/>
      <c r="P90" s="49"/>
    </row>
    <row r="91" spans="1:16" x14ac:dyDescent="0.35">
      <c r="A91" s="62"/>
      <c r="B91" s="14"/>
      <c r="C91" s="14"/>
      <c r="D91" s="14"/>
      <c r="E91" s="14"/>
      <c r="F91" s="34" t="s">
        <v>191</v>
      </c>
      <c r="G91" s="35">
        <v>42.75</v>
      </c>
      <c r="H91" s="36"/>
      <c r="I91" s="28"/>
      <c r="J91" s="39">
        <f t="shared" si="5"/>
        <v>0</v>
      </c>
      <c r="K91" s="40">
        <f t="shared" si="7"/>
        <v>0</v>
      </c>
      <c r="O91" s="49"/>
      <c r="P91" s="49"/>
    </row>
    <row r="92" spans="1:16" x14ac:dyDescent="0.35">
      <c r="A92" s="62"/>
      <c r="B92" s="14"/>
      <c r="C92" s="14"/>
      <c r="D92" s="14"/>
      <c r="E92" s="14"/>
      <c r="F92" s="34" t="s">
        <v>192</v>
      </c>
      <c r="G92" s="35">
        <v>43.55</v>
      </c>
      <c r="H92" s="36"/>
      <c r="I92" s="28"/>
      <c r="J92" s="39">
        <f t="shared" si="5"/>
        <v>0</v>
      </c>
      <c r="K92" s="40">
        <f t="shared" si="7"/>
        <v>0</v>
      </c>
      <c r="O92" s="49"/>
      <c r="P92" s="49"/>
    </row>
    <row r="93" spans="1:16" x14ac:dyDescent="0.35">
      <c r="A93" s="62"/>
      <c r="B93" s="14"/>
      <c r="C93" s="14"/>
      <c r="D93" s="14"/>
      <c r="E93" s="14"/>
      <c r="F93" s="34" t="s">
        <v>193</v>
      </c>
      <c r="G93" s="35">
        <v>44.15</v>
      </c>
      <c r="H93" s="36"/>
      <c r="I93" s="28"/>
      <c r="J93" s="39">
        <f t="shared" si="5"/>
        <v>0</v>
      </c>
      <c r="K93" s="40">
        <f t="shared" si="7"/>
        <v>0</v>
      </c>
      <c r="O93" s="49"/>
      <c r="P93" s="49"/>
    </row>
    <row r="94" spans="1:16" x14ac:dyDescent="0.35">
      <c r="A94" s="62"/>
      <c r="B94" s="14"/>
      <c r="C94" s="14"/>
      <c r="D94" s="14"/>
      <c r="E94" s="14"/>
      <c r="F94" s="34" t="s">
        <v>195</v>
      </c>
      <c r="G94" s="35">
        <v>48.1</v>
      </c>
      <c r="H94" s="36"/>
      <c r="I94" s="28"/>
      <c r="J94" s="39">
        <f t="shared" si="5"/>
        <v>0</v>
      </c>
      <c r="K94" s="40">
        <f t="shared" si="7"/>
        <v>0</v>
      </c>
      <c r="O94" s="49"/>
      <c r="P94" s="49"/>
    </row>
    <row r="95" spans="1:16" x14ac:dyDescent="0.35">
      <c r="A95" s="62"/>
      <c r="B95" s="14"/>
      <c r="C95" s="14"/>
      <c r="D95" s="14"/>
      <c r="E95" s="14"/>
      <c r="F95" s="34" t="s">
        <v>194</v>
      </c>
      <c r="G95" s="35">
        <v>42.8</v>
      </c>
      <c r="H95" s="36"/>
      <c r="I95" s="28"/>
      <c r="J95" s="39">
        <f t="shared" si="5"/>
        <v>0</v>
      </c>
      <c r="K95" s="40">
        <f t="shared" si="7"/>
        <v>0</v>
      </c>
      <c r="O95" s="49"/>
      <c r="P95" s="49"/>
    </row>
    <row r="96" spans="1:16" ht="15" thickBot="1" x14ac:dyDescent="0.4">
      <c r="A96" s="62"/>
      <c r="B96" s="14"/>
      <c r="C96" s="14"/>
      <c r="D96" s="14"/>
      <c r="E96" s="14"/>
      <c r="F96" s="34" t="s">
        <v>188</v>
      </c>
      <c r="G96" s="35">
        <v>53.9</v>
      </c>
      <c r="H96" s="36"/>
      <c r="I96" s="28"/>
      <c r="J96" s="39">
        <f t="shared" si="5"/>
        <v>0</v>
      </c>
      <c r="K96" s="40">
        <f t="shared" si="6"/>
        <v>0</v>
      </c>
      <c r="O96" s="49"/>
      <c r="P96" s="49"/>
    </row>
    <row r="97" spans="1:16" ht="17.25" customHeight="1" thickBot="1" x14ac:dyDescent="0.6">
      <c r="A97" s="84" t="s">
        <v>9</v>
      </c>
      <c r="B97" s="85"/>
      <c r="C97" s="85"/>
      <c r="D97" s="85"/>
      <c r="E97" s="85"/>
      <c r="F97" s="85"/>
      <c r="G97" s="85"/>
      <c r="H97" s="85"/>
      <c r="I97" s="86"/>
      <c r="J97" s="87"/>
      <c r="K97" s="88"/>
      <c r="O97" s="49"/>
      <c r="P97" s="49"/>
    </row>
    <row r="98" spans="1:16" ht="24" thickBot="1" x14ac:dyDescent="0.6">
      <c r="A98" s="84" t="s">
        <v>139</v>
      </c>
      <c r="B98" s="85"/>
      <c r="C98" s="85"/>
      <c r="D98" s="85"/>
      <c r="E98" s="85"/>
      <c r="F98" s="85"/>
      <c r="G98" s="85"/>
      <c r="H98" s="85"/>
      <c r="I98" s="86"/>
      <c r="J98" s="89">
        <v>0</v>
      </c>
      <c r="K98" s="90"/>
    </row>
    <row r="99" spans="1:16" ht="24" thickBot="1" x14ac:dyDescent="0.6">
      <c r="A99" s="84" t="s">
        <v>55</v>
      </c>
      <c r="B99" s="85"/>
      <c r="C99" s="85"/>
      <c r="D99" s="85"/>
      <c r="E99" s="85"/>
      <c r="F99" s="85"/>
      <c r="G99" s="85"/>
      <c r="H99" s="85"/>
      <c r="I99" s="86"/>
      <c r="J99" s="89">
        <v>0</v>
      </c>
      <c r="K99" s="90"/>
    </row>
    <row r="100" spans="1:16" ht="24" thickBot="1" x14ac:dyDescent="0.6">
      <c r="A100" s="84" t="s">
        <v>11</v>
      </c>
      <c r="B100" s="85"/>
      <c r="C100" s="85"/>
      <c r="D100" s="85"/>
      <c r="E100" s="85"/>
      <c r="F100" s="85"/>
      <c r="G100" s="85"/>
      <c r="H100" s="85"/>
      <c r="I100" s="86"/>
      <c r="J100" s="87">
        <f>SUM(J65:J96)</f>
        <v>0</v>
      </c>
      <c r="K100" s="88"/>
    </row>
    <row r="101" spans="1:16" ht="24" thickBot="1" x14ac:dyDescent="0.6">
      <c r="A101" s="84" t="s">
        <v>140</v>
      </c>
      <c r="B101" s="85"/>
      <c r="C101" s="85"/>
      <c r="D101" s="85"/>
      <c r="E101" s="85"/>
      <c r="F101" s="85"/>
      <c r="G101" s="85"/>
      <c r="H101" s="85"/>
      <c r="I101" s="86"/>
      <c r="J101" s="89">
        <v>1739.25</v>
      </c>
      <c r="K101" s="90"/>
      <c r="O101" s="49"/>
      <c r="P101" s="49"/>
    </row>
    <row r="102" spans="1:16" ht="24" thickBot="1" x14ac:dyDescent="0.6">
      <c r="A102" s="84" t="s">
        <v>141</v>
      </c>
      <c r="B102" s="85"/>
      <c r="C102" s="85"/>
      <c r="D102" s="85"/>
      <c r="E102" s="85"/>
      <c r="F102" s="85"/>
      <c r="G102" s="85"/>
      <c r="H102" s="85"/>
      <c r="I102" s="86"/>
      <c r="J102" s="87">
        <f>J97+J98+J99-J100</f>
        <v>0</v>
      </c>
      <c r="K102" s="88"/>
      <c r="O102" s="49"/>
      <c r="P102" s="49"/>
    </row>
    <row r="103" spans="1:16" ht="24" thickBot="1" x14ac:dyDescent="0.6">
      <c r="A103" s="109" t="s">
        <v>142</v>
      </c>
      <c r="B103" s="110"/>
      <c r="C103" s="110"/>
      <c r="D103" s="110"/>
      <c r="E103" s="110"/>
      <c r="F103" s="110"/>
      <c r="G103" s="110"/>
      <c r="H103" s="110"/>
      <c r="I103" s="111"/>
      <c r="J103" s="112">
        <f>J102/J101</f>
        <v>0</v>
      </c>
      <c r="K103" s="113"/>
      <c r="O103" s="49"/>
      <c r="P103" s="49"/>
    </row>
    <row r="104" spans="1:16" ht="24" thickBot="1" x14ac:dyDescent="0.6">
      <c r="A104" s="109" t="s">
        <v>56</v>
      </c>
      <c r="B104" s="110"/>
      <c r="C104" s="110"/>
      <c r="D104" s="110"/>
      <c r="E104" s="110"/>
      <c r="F104" s="110"/>
      <c r="G104" s="110"/>
      <c r="H104" s="110"/>
      <c r="I104" s="111"/>
      <c r="J104" s="112" t="e">
        <f>((G186+G187+G189-J100)/G188)</f>
        <v>#REF!</v>
      </c>
      <c r="K104" s="113"/>
      <c r="O104" s="49"/>
      <c r="P104" s="49"/>
    </row>
    <row r="105" spans="1:16" ht="15" thickBot="1" x14ac:dyDescent="0.4">
      <c r="A105" s="62"/>
      <c r="B105" s="15"/>
      <c r="C105" s="15"/>
      <c r="D105" s="15"/>
      <c r="E105" s="15"/>
      <c r="F105" s="34"/>
      <c r="G105" s="35" t="e">
        <f>#REF!</f>
        <v>#REF!</v>
      </c>
      <c r="H105" s="36"/>
      <c r="I105" s="28"/>
      <c r="J105" s="39">
        <f t="shared" ref="J105" si="8">I105*H105</f>
        <v>0</v>
      </c>
      <c r="K105" s="40">
        <f t="shared" ref="K105" si="9">(SUM(A105:E105))-I105</f>
        <v>0</v>
      </c>
      <c r="O105" s="49"/>
      <c r="P105" s="49"/>
    </row>
    <row r="106" spans="1:16" x14ac:dyDescent="0.35">
      <c r="A106" s="145" t="s">
        <v>0</v>
      </c>
      <c r="B106" s="147" t="s">
        <v>1</v>
      </c>
      <c r="C106" s="148"/>
      <c r="D106" s="148"/>
      <c r="E106" s="149"/>
      <c r="F106" s="102" t="s">
        <v>2</v>
      </c>
      <c r="G106" s="102" t="s">
        <v>3</v>
      </c>
      <c r="H106" s="102" t="s">
        <v>4</v>
      </c>
      <c r="I106" s="102" t="s">
        <v>5</v>
      </c>
      <c r="J106" s="102" t="s">
        <v>6</v>
      </c>
      <c r="K106" s="104" t="s">
        <v>7</v>
      </c>
      <c r="O106" s="49"/>
      <c r="P106" s="49"/>
    </row>
    <row r="107" spans="1:16" x14ac:dyDescent="0.35">
      <c r="A107" s="146"/>
      <c r="B107" s="27">
        <v>1</v>
      </c>
      <c r="C107" s="27">
        <v>2</v>
      </c>
      <c r="D107" s="27">
        <v>3</v>
      </c>
      <c r="E107" s="27">
        <v>4</v>
      </c>
      <c r="F107" s="103"/>
      <c r="G107" s="103"/>
      <c r="H107" s="103"/>
      <c r="I107" s="103"/>
      <c r="J107" s="103"/>
      <c r="K107" s="105"/>
      <c r="O107" s="49"/>
      <c r="P107" s="49"/>
    </row>
    <row r="108" spans="1:16" ht="23.5" x14ac:dyDescent="0.55000000000000004">
      <c r="A108" s="106" t="s">
        <v>15</v>
      </c>
      <c r="B108" s="107"/>
      <c r="C108" s="107"/>
      <c r="D108" s="107"/>
      <c r="E108" s="107"/>
      <c r="F108" s="107"/>
      <c r="G108" s="107"/>
      <c r="H108" s="107"/>
      <c r="I108" s="107"/>
      <c r="J108" s="107"/>
      <c r="K108" s="108"/>
      <c r="O108" s="49"/>
      <c r="P108" s="49"/>
    </row>
    <row r="109" spans="1:16" x14ac:dyDescent="0.35">
      <c r="A109" s="62"/>
      <c r="B109" s="14"/>
      <c r="C109" s="14"/>
      <c r="D109" s="14"/>
      <c r="E109" s="14"/>
      <c r="F109" s="34" t="s">
        <v>104</v>
      </c>
      <c r="G109" s="35" t="e">
        <f>#REF!</f>
        <v>#REF!</v>
      </c>
      <c r="H109" s="36">
        <v>2.06</v>
      </c>
      <c r="I109" s="28"/>
      <c r="J109" s="39">
        <f>I109*H109</f>
        <v>0</v>
      </c>
      <c r="K109" s="40">
        <f>(SUM(A109:E109))-I109</f>
        <v>0</v>
      </c>
      <c r="O109" s="49"/>
      <c r="P109" s="49"/>
    </row>
    <row r="110" spans="1:16" x14ac:dyDescent="0.35">
      <c r="A110" s="62"/>
      <c r="B110" s="15"/>
      <c r="C110" s="15"/>
      <c r="D110" s="15"/>
      <c r="E110" s="15"/>
      <c r="F110" s="34" t="s">
        <v>103</v>
      </c>
      <c r="G110" s="35" t="e">
        <f>#REF!</f>
        <v>#REF!</v>
      </c>
      <c r="H110" s="36">
        <v>2.06</v>
      </c>
      <c r="I110" s="17"/>
      <c r="J110" s="39">
        <f t="shared" ref="J110:J124" si="10">I110*H110</f>
        <v>0</v>
      </c>
      <c r="K110" s="40">
        <f t="shared" ref="K110:K124" si="11">(SUM(A110:E110))-I110</f>
        <v>0</v>
      </c>
      <c r="O110" s="49"/>
      <c r="P110" s="49"/>
    </row>
    <row r="111" spans="1:16" x14ac:dyDescent="0.35">
      <c r="A111" s="62"/>
      <c r="B111" s="15"/>
      <c r="C111" s="15"/>
      <c r="D111" s="15"/>
      <c r="E111" s="15"/>
      <c r="F111" s="34" t="s">
        <v>100</v>
      </c>
      <c r="G111" s="35" t="e">
        <f>#REF!</f>
        <v>#REF!</v>
      </c>
      <c r="H111" s="36">
        <v>1.82</v>
      </c>
      <c r="I111" s="17"/>
      <c r="J111" s="39">
        <f t="shared" si="10"/>
        <v>0</v>
      </c>
      <c r="K111" s="40">
        <f t="shared" si="11"/>
        <v>0</v>
      </c>
      <c r="O111" s="49"/>
      <c r="P111" s="49"/>
    </row>
    <row r="112" spans="1:16" x14ac:dyDescent="0.35">
      <c r="A112" s="62"/>
      <c r="B112" s="15"/>
      <c r="C112" s="15"/>
      <c r="D112" s="15"/>
      <c r="E112" s="15"/>
      <c r="F112" s="34" t="s">
        <v>106</v>
      </c>
      <c r="G112" s="35" t="e">
        <f>#REF!</f>
        <v>#REF!</v>
      </c>
      <c r="H112" s="36">
        <v>2.5</v>
      </c>
      <c r="I112" s="17"/>
      <c r="J112" s="39">
        <f t="shared" si="10"/>
        <v>0</v>
      </c>
      <c r="K112" s="40">
        <f t="shared" si="11"/>
        <v>0</v>
      </c>
      <c r="O112" s="49"/>
      <c r="P112" s="49"/>
    </row>
    <row r="113" spans="1:16" x14ac:dyDescent="0.35">
      <c r="A113" s="62"/>
      <c r="B113" s="15"/>
      <c r="C113" s="15"/>
      <c r="D113" s="15"/>
      <c r="E113" s="15"/>
      <c r="F113" s="34" t="s">
        <v>175</v>
      </c>
      <c r="G113" s="35">
        <v>1</v>
      </c>
      <c r="H113" s="36">
        <v>2</v>
      </c>
      <c r="I113" s="17"/>
      <c r="J113" s="39">
        <f t="shared" si="10"/>
        <v>0</v>
      </c>
      <c r="K113" s="40">
        <f t="shared" si="11"/>
        <v>0</v>
      </c>
      <c r="O113" s="49"/>
      <c r="P113" s="49"/>
    </row>
    <row r="114" spans="1:16" x14ac:dyDescent="0.35">
      <c r="A114" s="62"/>
      <c r="B114" s="15"/>
      <c r="C114" s="15"/>
      <c r="D114" s="15"/>
      <c r="E114" s="15"/>
      <c r="F114" s="34" t="s">
        <v>16</v>
      </c>
      <c r="G114" s="35" t="e">
        <f>#REF!</f>
        <v>#REF!</v>
      </c>
      <c r="H114" s="36">
        <v>2.2000000000000002</v>
      </c>
      <c r="I114" s="17"/>
      <c r="J114" s="39">
        <f t="shared" si="10"/>
        <v>0</v>
      </c>
      <c r="K114" s="40">
        <f t="shared" si="11"/>
        <v>0</v>
      </c>
      <c r="O114" s="49"/>
      <c r="P114" s="49"/>
    </row>
    <row r="115" spans="1:16" x14ac:dyDescent="0.35">
      <c r="A115" s="62"/>
      <c r="B115" s="15"/>
      <c r="C115" s="15"/>
      <c r="D115" s="15"/>
      <c r="E115" s="15"/>
      <c r="F115" s="34" t="s">
        <v>17</v>
      </c>
      <c r="G115" s="35" t="e">
        <f>#REF!</f>
        <v>#REF!</v>
      </c>
      <c r="H115" s="36">
        <v>3</v>
      </c>
      <c r="I115" s="17"/>
      <c r="J115" s="39">
        <f t="shared" si="10"/>
        <v>0</v>
      </c>
      <c r="K115" s="40">
        <f t="shared" si="11"/>
        <v>0</v>
      </c>
      <c r="O115" s="49"/>
      <c r="P115" s="49"/>
    </row>
    <row r="116" spans="1:16" x14ac:dyDescent="0.35">
      <c r="A116" s="62"/>
      <c r="B116" s="15"/>
      <c r="C116" s="15"/>
      <c r="D116" s="15"/>
      <c r="E116" s="15"/>
      <c r="F116" s="34" t="s">
        <v>105</v>
      </c>
      <c r="G116" s="35" t="e">
        <f>#REF!</f>
        <v>#REF!</v>
      </c>
      <c r="H116" s="36">
        <v>2.14</v>
      </c>
      <c r="I116" s="17"/>
      <c r="J116" s="39">
        <f t="shared" si="10"/>
        <v>0</v>
      </c>
      <c r="K116" s="40">
        <f t="shared" si="11"/>
        <v>0</v>
      </c>
      <c r="O116" s="49"/>
      <c r="P116" s="49"/>
    </row>
    <row r="117" spans="1:16" x14ac:dyDescent="0.35">
      <c r="A117" s="62"/>
      <c r="B117" s="15"/>
      <c r="C117" s="15"/>
      <c r="D117" s="15"/>
      <c r="E117" s="15"/>
      <c r="F117" s="34" t="s">
        <v>102</v>
      </c>
      <c r="G117" s="35" t="e">
        <f>#REF!</f>
        <v>#REF!</v>
      </c>
      <c r="H117" s="36">
        <v>2.06</v>
      </c>
      <c r="I117" s="31"/>
      <c r="J117" s="39">
        <f t="shared" si="10"/>
        <v>0</v>
      </c>
      <c r="K117" s="40">
        <f t="shared" si="11"/>
        <v>0</v>
      </c>
      <c r="O117" s="49"/>
      <c r="P117" s="49"/>
    </row>
    <row r="118" spans="1:16" x14ac:dyDescent="0.35">
      <c r="A118" s="62"/>
      <c r="B118" s="15"/>
      <c r="C118" s="15"/>
      <c r="D118" s="15"/>
      <c r="E118" s="15"/>
      <c r="F118" s="34" t="s">
        <v>44</v>
      </c>
      <c r="G118" s="35" t="e">
        <f>#REF!</f>
        <v>#REF!</v>
      </c>
      <c r="H118" s="36">
        <v>2.08</v>
      </c>
      <c r="I118" s="17"/>
      <c r="J118" s="39">
        <f t="shared" si="10"/>
        <v>0</v>
      </c>
      <c r="K118" s="40">
        <f t="shared" si="11"/>
        <v>0</v>
      </c>
      <c r="O118" s="49"/>
      <c r="P118" s="49"/>
    </row>
    <row r="119" spans="1:16" x14ac:dyDescent="0.35">
      <c r="A119" s="62"/>
      <c r="B119" s="15"/>
      <c r="C119" s="15"/>
      <c r="D119" s="15"/>
      <c r="E119" s="15"/>
      <c r="F119" s="34" t="s">
        <v>107</v>
      </c>
      <c r="G119" s="35" t="e">
        <f>#REF!</f>
        <v>#REF!</v>
      </c>
      <c r="H119" s="36">
        <v>2.33</v>
      </c>
      <c r="I119" s="17"/>
      <c r="J119" s="39">
        <f t="shared" si="10"/>
        <v>0</v>
      </c>
      <c r="K119" s="40">
        <f t="shared" si="11"/>
        <v>0</v>
      </c>
      <c r="O119" s="49"/>
      <c r="P119" s="49"/>
    </row>
    <row r="120" spans="1:16" x14ac:dyDescent="0.35">
      <c r="A120" s="62"/>
      <c r="B120" s="15"/>
      <c r="C120" s="15"/>
      <c r="D120" s="15"/>
      <c r="E120" s="15"/>
      <c r="F120" s="34" t="s">
        <v>101</v>
      </c>
      <c r="G120" s="35" t="e">
        <f>#REF!</f>
        <v>#REF!</v>
      </c>
      <c r="H120" s="36">
        <v>1.82</v>
      </c>
      <c r="I120" s="17"/>
      <c r="J120" s="39">
        <f t="shared" si="10"/>
        <v>0</v>
      </c>
      <c r="K120" s="40">
        <f t="shared" si="11"/>
        <v>0</v>
      </c>
      <c r="O120" s="49"/>
      <c r="P120" s="49"/>
    </row>
    <row r="121" spans="1:16" x14ac:dyDescent="0.35">
      <c r="A121" s="62"/>
      <c r="B121" s="15"/>
      <c r="C121" s="15"/>
      <c r="D121" s="15"/>
      <c r="E121" s="15"/>
      <c r="F121" s="34" t="s">
        <v>108</v>
      </c>
      <c r="G121" s="35" t="e">
        <f>#REF!</f>
        <v>#REF!</v>
      </c>
      <c r="H121" s="36">
        <v>1.5</v>
      </c>
      <c r="I121" s="17"/>
      <c r="J121" s="39">
        <f t="shared" si="10"/>
        <v>0</v>
      </c>
      <c r="K121" s="40">
        <f t="shared" si="11"/>
        <v>0</v>
      </c>
      <c r="O121" s="49"/>
      <c r="P121" s="49"/>
    </row>
    <row r="122" spans="1:16" x14ac:dyDescent="0.35">
      <c r="A122" s="62"/>
      <c r="B122" s="15"/>
      <c r="C122" s="15"/>
      <c r="D122" s="15"/>
      <c r="E122" s="15"/>
      <c r="F122" s="34" t="s">
        <v>18</v>
      </c>
      <c r="G122" s="35" t="e">
        <f>#REF!</f>
        <v>#REF!</v>
      </c>
      <c r="H122" s="36">
        <v>2.1</v>
      </c>
      <c r="I122" s="17"/>
      <c r="J122" s="39">
        <f t="shared" si="10"/>
        <v>0</v>
      </c>
      <c r="K122" s="40">
        <f t="shared" si="11"/>
        <v>0</v>
      </c>
      <c r="O122" s="49"/>
      <c r="P122" s="49"/>
    </row>
    <row r="123" spans="1:16" x14ac:dyDescent="0.35">
      <c r="A123" s="62"/>
      <c r="B123" s="15"/>
      <c r="C123" s="15"/>
      <c r="D123" s="15"/>
      <c r="E123" s="15"/>
      <c r="F123" s="34" t="s">
        <v>99</v>
      </c>
      <c r="G123" s="35" t="e">
        <f>#REF!</f>
        <v>#REF!</v>
      </c>
      <c r="H123" s="36">
        <v>2.41</v>
      </c>
      <c r="I123" s="17"/>
      <c r="J123" s="39">
        <f t="shared" si="10"/>
        <v>0</v>
      </c>
      <c r="K123" s="40">
        <f t="shared" si="11"/>
        <v>0</v>
      </c>
      <c r="O123" s="49"/>
      <c r="P123" s="49"/>
    </row>
    <row r="124" spans="1:16" ht="20.149999999999999" customHeight="1" x14ac:dyDescent="0.35">
      <c r="A124" s="62"/>
      <c r="B124" s="15"/>
      <c r="C124" s="15"/>
      <c r="D124" s="15"/>
      <c r="E124" s="15"/>
      <c r="F124" s="34" t="s">
        <v>19</v>
      </c>
      <c r="G124" s="35" t="e">
        <f>#REF!</f>
        <v>#REF!</v>
      </c>
      <c r="H124" s="36">
        <v>2.5499999999999998</v>
      </c>
      <c r="I124" s="17"/>
      <c r="J124" s="39">
        <f t="shared" si="10"/>
        <v>0</v>
      </c>
      <c r="K124" s="40">
        <f t="shared" si="11"/>
        <v>0</v>
      </c>
    </row>
    <row r="125" spans="1:16" ht="20.149999999999999" customHeight="1" x14ac:dyDescent="0.35">
      <c r="A125" s="91" t="s">
        <v>117</v>
      </c>
      <c r="B125" s="92"/>
      <c r="C125" s="92"/>
      <c r="D125" s="92"/>
      <c r="E125" s="92"/>
      <c r="F125" s="92"/>
      <c r="G125" s="92"/>
      <c r="H125" s="92"/>
      <c r="I125" s="92"/>
      <c r="J125" s="92"/>
      <c r="K125" s="93"/>
    </row>
    <row r="126" spans="1:16" ht="20.149999999999999" customHeight="1" x14ac:dyDescent="0.35">
      <c r="A126" s="62"/>
      <c r="B126" s="15"/>
      <c r="C126" s="15"/>
      <c r="D126" s="15"/>
      <c r="E126" s="15"/>
      <c r="F126" s="34" t="s">
        <v>116</v>
      </c>
      <c r="G126" s="35" t="e">
        <f>#REF!</f>
        <v>#REF!</v>
      </c>
      <c r="H126" s="36">
        <v>2.7</v>
      </c>
      <c r="I126" s="17"/>
      <c r="J126" s="39">
        <f t="shared" ref="J126:J131" si="12">I126*H126</f>
        <v>0</v>
      </c>
      <c r="K126" s="40">
        <f t="shared" ref="K126:K134" si="13">(SUM(A126:E126))-I126</f>
        <v>0</v>
      </c>
    </row>
    <row r="127" spans="1:16" ht="20.149999999999999" customHeight="1" x14ac:dyDescent="0.35">
      <c r="A127" s="62"/>
      <c r="B127" s="15"/>
      <c r="C127" s="15"/>
      <c r="D127" s="15"/>
      <c r="E127" s="15"/>
      <c r="F127" s="34" t="s">
        <v>115</v>
      </c>
      <c r="G127" s="35" t="e">
        <f>#REF!</f>
        <v>#REF!</v>
      </c>
      <c r="H127" s="36">
        <v>3.12</v>
      </c>
      <c r="I127" s="17"/>
      <c r="J127" s="39">
        <f t="shared" si="12"/>
        <v>0</v>
      </c>
      <c r="K127" s="40">
        <f t="shared" si="13"/>
        <v>0</v>
      </c>
    </row>
    <row r="128" spans="1:16" ht="20.149999999999999" customHeight="1" x14ac:dyDescent="0.35">
      <c r="A128" s="62"/>
      <c r="B128" s="15"/>
      <c r="C128" s="15"/>
      <c r="D128" s="15"/>
      <c r="E128" s="15"/>
      <c r="F128" s="34" t="s">
        <v>114</v>
      </c>
      <c r="G128" s="35" t="e">
        <f>#REF!</f>
        <v>#REF!</v>
      </c>
      <c r="H128" s="36">
        <v>2.4900000000000002</v>
      </c>
      <c r="I128" s="17"/>
      <c r="J128" s="39">
        <f t="shared" si="12"/>
        <v>0</v>
      </c>
      <c r="K128" s="40">
        <f t="shared" si="13"/>
        <v>0</v>
      </c>
    </row>
    <row r="129" spans="1:11" ht="20.149999999999999" customHeight="1" x14ac:dyDescent="0.35">
      <c r="A129" s="62"/>
      <c r="B129" s="15"/>
      <c r="C129" s="15"/>
      <c r="D129" s="15"/>
      <c r="E129" s="15"/>
      <c r="F129" s="34" t="s">
        <v>109</v>
      </c>
      <c r="G129" s="35" t="e">
        <f>#REF!</f>
        <v>#REF!</v>
      </c>
      <c r="H129" s="36">
        <v>2.7</v>
      </c>
      <c r="I129" s="17"/>
      <c r="J129" s="39">
        <f t="shared" si="12"/>
        <v>0</v>
      </c>
      <c r="K129" s="40">
        <f t="shared" si="13"/>
        <v>0</v>
      </c>
    </row>
    <row r="130" spans="1:11" ht="20.149999999999999" customHeight="1" x14ac:dyDescent="0.35">
      <c r="A130" s="62"/>
      <c r="B130" s="15"/>
      <c r="C130" s="15"/>
      <c r="D130" s="15"/>
      <c r="E130" s="15"/>
      <c r="F130" s="34" t="s">
        <v>110</v>
      </c>
      <c r="G130" s="35" t="e">
        <f>#REF!</f>
        <v>#REF!</v>
      </c>
      <c r="H130" s="36">
        <v>2.7</v>
      </c>
      <c r="I130" s="17"/>
      <c r="J130" s="39">
        <f t="shared" si="12"/>
        <v>0</v>
      </c>
      <c r="K130" s="40">
        <f t="shared" si="13"/>
        <v>0</v>
      </c>
    </row>
    <row r="131" spans="1:11" ht="20.149999999999999" customHeight="1" x14ac:dyDescent="0.35">
      <c r="A131" s="62"/>
      <c r="B131" s="15"/>
      <c r="C131" s="15"/>
      <c r="D131" s="15"/>
      <c r="E131" s="15"/>
      <c r="F131" s="34" t="s">
        <v>111</v>
      </c>
      <c r="G131" s="35" t="e">
        <f>#REF!</f>
        <v>#REF!</v>
      </c>
      <c r="H131" s="36">
        <v>2.7</v>
      </c>
      <c r="I131" s="17"/>
      <c r="J131" s="39">
        <f t="shared" si="12"/>
        <v>0</v>
      </c>
      <c r="K131" s="40">
        <f t="shared" si="13"/>
        <v>0</v>
      </c>
    </row>
    <row r="132" spans="1:11" x14ac:dyDescent="0.35">
      <c r="A132" s="62"/>
      <c r="B132" s="15"/>
      <c r="C132" s="15"/>
      <c r="D132" s="15"/>
      <c r="E132" s="15"/>
      <c r="F132" s="34" t="s">
        <v>113</v>
      </c>
      <c r="G132" s="35" t="e">
        <f>#REF!</f>
        <v>#REF!</v>
      </c>
      <c r="H132" s="36">
        <v>2.33</v>
      </c>
      <c r="I132" s="17"/>
      <c r="J132" s="39">
        <v>0</v>
      </c>
      <c r="K132" s="40">
        <f t="shared" si="13"/>
        <v>0</v>
      </c>
    </row>
    <row r="133" spans="1:11" ht="20.149999999999999" customHeight="1" x14ac:dyDescent="0.35">
      <c r="A133" s="62"/>
      <c r="B133" s="15"/>
      <c r="C133" s="15"/>
      <c r="D133" s="15"/>
      <c r="E133" s="15"/>
      <c r="F133" s="34" t="s">
        <v>72</v>
      </c>
      <c r="G133" s="35" t="e">
        <f>#REF!</f>
        <v>#REF!</v>
      </c>
      <c r="H133" s="36">
        <v>3.24</v>
      </c>
      <c r="I133" s="17"/>
      <c r="J133" s="39">
        <f>I133*H133</f>
        <v>0</v>
      </c>
      <c r="K133" s="40">
        <f t="shared" si="13"/>
        <v>0</v>
      </c>
    </row>
    <row r="134" spans="1:11" ht="15" thickBot="1" x14ac:dyDescent="0.4">
      <c r="A134" s="62"/>
      <c r="B134" s="18"/>
      <c r="C134" s="18"/>
      <c r="D134" s="18"/>
      <c r="E134" s="18"/>
      <c r="F134" s="41" t="s">
        <v>112</v>
      </c>
      <c r="G134" s="42" t="e">
        <f>#REF!</f>
        <v>#REF!</v>
      </c>
      <c r="H134" s="43">
        <v>2.41</v>
      </c>
      <c r="I134" s="29"/>
      <c r="J134" s="44">
        <f>I134*H134</f>
        <v>0</v>
      </c>
      <c r="K134" s="45">
        <f t="shared" si="13"/>
        <v>0</v>
      </c>
    </row>
    <row r="135" spans="1:11" ht="15" customHeight="1" thickBot="1" x14ac:dyDescent="0.6">
      <c r="A135" s="84" t="s">
        <v>9</v>
      </c>
      <c r="B135" s="85"/>
      <c r="C135" s="85"/>
      <c r="D135" s="85"/>
      <c r="E135" s="85"/>
      <c r="F135" s="85"/>
      <c r="G135" s="85"/>
      <c r="H135" s="85"/>
      <c r="I135" s="86"/>
      <c r="J135" s="87">
        <v>1757.8899999999999</v>
      </c>
      <c r="K135" s="88"/>
    </row>
    <row r="136" spans="1:11" ht="24" thickBot="1" x14ac:dyDescent="0.6">
      <c r="A136" s="84" t="s">
        <v>21</v>
      </c>
      <c r="B136" s="85"/>
      <c r="C136" s="85"/>
      <c r="D136" s="85"/>
      <c r="E136" s="85"/>
      <c r="F136" s="85"/>
      <c r="G136" s="85"/>
      <c r="H136" s="85"/>
      <c r="I136" s="86"/>
      <c r="J136" s="89">
        <v>0</v>
      </c>
      <c r="K136" s="90"/>
    </row>
    <row r="137" spans="1:11" ht="24" thickBot="1" x14ac:dyDescent="0.6">
      <c r="A137" s="84" t="s">
        <v>55</v>
      </c>
      <c r="B137" s="85"/>
      <c r="C137" s="85"/>
      <c r="D137" s="85"/>
      <c r="E137" s="85"/>
      <c r="F137" s="85"/>
      <c r="G137" s="85"/>
      <c r="H137" s="85"/>
      <c r="I137" s="86"/>
      <c r="J137" s="89">
        <v>0</v>
      </c>
      <c r="K137" s="90"/>
    </row>
    <row r="138" spans="1:11" ht="24" thickBot="1" x14ac:dyDescent="0.6">
      <c r="A138" s="84" t="s">
        <v>11</v>
      </c>
      <c r="B138" s="85"/>
      <c r="C138" s="85"/>
      <c r="D138" s="85"/>
      <c r="E138" s="85"/>
      <c r="F138" s="85"/>
      <c r="G138" s="85"/>
      <c r="H138" s="85"/>
      <c r="I138" s="86"/>
      <c r="J138" s="87">
        <f>SUM(J109:J134)</f>
        <v>0</v>
      </c>
      <c r="K138" s="88"/>
    </row>
    <row r="139" spans="1:11" ht="20.149999999999999" customHeight="1" thickBot="1" x14ac:dyDescent="0.6">
      <c r="A139" s="84" t="s">
        <v>22</v>
      </c>
      <c r="B139" s="85"/>
      <c r="C139" s="85"/>
      <c r="D139" s="85"/>
      <c r="E139" s="85"/>
      <c r="F139" s="85"/>
      <c r="G139" s="85"/>
      <c r="H139" s="85"/>
      <c r="I139" s="86"/>
      <c r="J139" s="89">
        <v>1739.25</v>
      </c>
      <c r="K139" s="90"/>
    </row>
    <row r="140" spans="1:11" ht="20.149999999999999" customHeight="1" thickBot="1" x14ac:dyDescent="0.6">
      <c r="A140" s="84" t="s">
        <v>23</v>
      </c>
      <c r="B140" s="85"/>
      <c r="C140" s="85"/>
      <c r="D140" s="85"/>
      <c r="E140" s="85"/>
      <c r="F140" s="85"/>
      <c r="G140" s="85"/>
      <c r="H140" s="85"/>
      <c r="I140" s="86"/>
      <c r="J140" s="87">
        <f>J135+J136+J137-J138</f>
        <v>1757.8899999999999</v>
      </c>
      <c r="K140" s="88"/>
    </row>
    <row r="141" spans="1:11" ht="20.149999999999999" customHeight="1" thickBot="1" x14ac:dyDescent="0.6">
      <c r="A141" s="109" t="s">
        <v>24</v>
      </c>
      <c r="B141" s="110"/>
      <c r="C141" s="110"/>
      <c r="D141" s="110"/>
      <c r="E141" s="110"/>
      <c r="F141" s="110"/>
      <c r="G141" s="110"/>
      <c r="H141" s="110"/>
      <c r="I141" s="111"/>
      <c r="J141" s="112">
        <f>J140/J139</f>
        <v>1.0107172631881558</v>
      </c>
      <c r="K141" s="113"/>
    </row>
    <row r="142" spans="1:11" ht="20.149999999999999" customHeight="1" thickBot="1" x14ac:dyDescent="0.6">
      <c r="A142" s="109" t="s">
        <v>56</v>
      </c>
      <c r="B142" s="110"/>
      <c r="C142" s="110"/>
      <c r="D142" s="110"/>
      <c r="E142" s="110"/>
      <c r="F142" s="110"/>
      <c r="G142" s="110"/>
      <c r="H142" s="110"/>
      <c r="I142" s="111"/>
      <c r="J142" s="112">
        <f>((G223+G224+G226-J138)/G225)</f>
        <v>1.0107172631881558</v>
      </c>
      <c r="K142" s="113"/>
    </row>
    <row r="143" spans="1:11" ht="20.149999999999999" customHeight="1" x14ac:dyDescent="0.35">
      <c r="A143" s="145" t="s">
        <v>0</v>
      </c>
      <c r="B143" s="147" t="s">
        <v>1</v>
      </c>
      <c r="C143" s="148"/>
      <c r="D143" s="148"/>
      <c r="E143" s="149"/>
      <c r="F143" s="102" t="s">
        <v>2</v>
      </c>
      <c r="G143" s="120" t="s">
        <v>66</v>
      </c>
      <c r="H143" s="102" t="s">
        <v>4</v>
      </c>
      <c r="I143" s="102" t="s">
        <v>5</v>
      </c>
      <c r="J143" s="102" t="s">
        <v>6</v>
      </c>
      <c r="K143" s="104" t="s">
        <v>7</v>
      </c>
    </row>
    <row r="144" spans="1:11" ht="20.149999999999999" customHeight="1" x14ac:dyDescent="0.35">
      <c r="A144" s="146"/>
      <c r="B144" s="27">
        <v>1</v>
      </c>
      <c r="C144" s="27">
        <v>2</v>
      </c>
      <c r="D144" s="27">
        <v>3</v>
      </c>
      <c r="E144" s="27">
        <v>4</v>
      </c>
      <c r="F144" s="103"/>
      <c r="G144" s="121"/>
      <c r="H144" s="103"/>
      <c r="I144" s="103"/>
      <c r="J144" s="103"/>
      <c r="K144" s="105"/>
    </row>
    <row r="145" spans="1:11" ht="20.149999999999999" customHeight="1" x14ac:dyDescent="0.55000000000000004">
      <c r="A145" s="106" t="s">
        <v>61</v>
      </c>
      <c r="B145" s="107"/>
      <c r="C145" s="107"/>
      <c r="D145" s="107"/>
      <c r="E145" s="107"/>
      <c r="F145" s="107"/>
      <c r="G145" s="107"/>
      <c r="H145" s="107"/>
      <c r="I145" s="107"/>
      <c r="J145" s="107"/>
      <c r="K145" s="108"/>
    </row>
    <row r="146" spans="1:11" ht="20.149999999999999" customHeight="1" x14ac:dyDescent="0.35">
      <c r="A146" s="62"/>
      <c r="B146" s="14"/>
      <c r="C146" s="14"/>
      <c r="D146" s="14"/>
      <c r="E146" s="14"/>
      <c r="F146" s="34" t="s">
        <v>121</v>
      </c>
      <c r="G146" s="35" t="e">
        <f>#REF!</f>
        <v>#REF!</v>
      </c>
      <c r="H146" s="36"/>
      <c r="I146" s="28">
        <v>0</v>
      </c>
      <c r="J146" s="39" t="e">
        <f>(I146/G146)*H146</f>
        <v>#REF!</v>
      </c>
      <c r="K146" s="40">
        <f>(SUM(A146:E146))-I146</f>
        <v>0</v>
      </c>
    </row>
    <row r="147" spans="1:11" x14ac:dyDescent="0.35">
      <c r="A147" s="30"/>
      <c r="B147" s="14"/>
      <c r="C147" s="14"/>
      <c r="D147" s="14"/>
      <c r="E147" s="14"/>
      <c r="F147" s="34" t="s">
        <v>116</v>
      </c>
      <c r="G147" s="35">
        <v>179.99</v>
      </c>
      <c r="H147" s="36"/>
      <c r="I147" s="28">
        <v>0</v>
      </c>
      <c r="J147" s="39">
        <f>(I147/G147)*H147</f>
        <v>0</v>
      </c>
      <c r="K147" s="40">
        <f>(SUM(A147:E147))-I147</f>
        <v>0</v>
      </c>
    </row>
    <row r="148" spans="1:11" x14ac:dyDescent="0.35">
      <c r="A148" s="30"/>
      <c r="B148" s="14"/>
      <c r="C148" s="14"/>
      <c r="D148" s="14"/>
      <c r="E148" s="14"/>
      <c r="F148" s="34" t="s">
        <v>20</v>
      </c>
      <c r="G148" s="35" t="e">
        <f>#REF!</f>
        <v>#REF!</v>
      </c>
      <c r="H148" s="36"/>
      <c r="I148" s="28">
        <v>0</v>
      </c>
      <c r="J148" s="39" t="e">
        <f>(I148/G148)*H148</f>
        <v>#REF!</v>
      </c>
      <c r="K148" s="40">
        <f>(SUM(A148:E148))-I148</f>
        <v>0</v>
      </c>
    </row>
    <row r="149" spans="1:11" ht="15" thickBot="1" x14ac:dyDescent="0.4">
      <c r="A149" s="30"/>
      <c r="B149" s="14"/>
      <c r="C149" s="14"/>
      <c r="D149" s="14"/>
      <c r="E149" s="14"/>
      <c r="F149" s="34" t="e">
        <f>#REF!</f>
        <v>#REF!</v>
      </c>
      <c r="G149" s="35" t="e">
        <f>#REF!</f>
        <v>#REF!</v>
      </c>
      <c r="H149" s="36" t="e">
        <f>#REF!</f>
        <v>#REF!</v>
      </c>
      <c r="I149" s="28">
        <v>0</v>
      </c>
      <c r="J149" s="39" t="e">
        <f>(I149/G149)*H149</f>
        <v>#REF!</v>
      </c>
      <c r="K149" s="40">
        <f>(SUM(A149:E149))-I149</f>
        <v>0</v>
      </c>
    </row>
    <row r="150" spans="1:11" ht="15" customHeight="1" thickBot="1" x14ac:dyDescent="0.6">
      <c r="A150" s="84" t="s">
        <v>9</v>
      </c>
      <c r="B150" s="85"/>
      <c r="C150" s="85"/>
      <c r="D150" s="85"/>
      <c r="E150" s="85"/>
      <c r="F150" s="85"/>
      <c r="G150" s="85"/>
      <c r="H150" s="85"/>
      <c r="I150" s="86"/>
      <c r="J150" s="87">
        <v>436.28818840579714</v>
      </c>
      <c r="K150" s="88"/>
    </row>
    <row r="151" spans="1:11" ht="24" thickBot="1" x14ac:dyDescent="0.6">
      <c r="A151" s="84" t="s">
        <v>62</v>
      </c>
      <c r="B151" s="85"/>
      <c r="C151" s="85"/>
      <c r="D151" s="85"/>
      <c r="E151" s="85"/>
      <c r="F151" s="85"/>
      <c r="G151" s="85"/>
      <c r="H151" s="85"/>
      <c r="I151" s="86"/>
      <c r="J151" s="89">
        <v>0</v>
      </c>
      <c r="K151" s="90"/>
    </row>
    <row r="152" spans="1:11" ht="15" customHeight="1" thickBot="1" x14ac:dyDescent="0.6">
      <c r="A152" s="84" t="s">
        <v>55</v>
      </c>
      <c r="B152" s="85"/>
      <c r="C152" s="85"/>
      <c r="D152" s="85"/>
      <c r="E152" s="85"/>
      <c r="F152" s="85"/>
      <c r="G152" s="85"/>
      <c r="H152" s="85"/>
      <c r="I152" s="86"/>
      <c r="J152" s="89">
        <v>0</v>
      </c>
      <c r="K152" s="90"/>
    </row>
    <row r="153" spans="1:11" ht="24" thickBot="1" x14ac:dyDescent="0.6">
      <c r="A153" s="84" t="s">
        <v>11</v>
      </c>
      <c r="B153" s="85"/>
      <c r="C153" s="85"/>
      <c r="D153" s="85"/>
      <c r="E153" s="85"/>
      <c r="F153" s="85"/>
      <c r="G153" s="85"/>
      <c r="H153" s="85"/>
      <c r="I153" s="86"/>
      <c r="J153" s="87" t="e">
        <f>J146+J147+J148</f>
        <v>#REF!</v>
      </c>
      <c r="K153" s="88"/>
    </row>
    <row r="154" spans="1:11" ht="24" thickBot="1" x14ac:dyDescent="0.6">
      <c r="A154" s="84" t="s">
        <v>63</v>
      </c>
      <c r="B154" s="85"/>
      <c r="C154" s="85"/>
      <c r="D154" s="85"/>
      <c r="E154" s="85"/>
      <c r="F154" s="85"/>
      <c r="G154" s="85"/>
      <c r="H154" s="85"/>
      <c r="I154" s="86"/>
      <c r="J154" s="89">
        <v>599.5</v>
      </c>
      <c r="K154" s="90"/>
    </row>
    <row r="155" spans="1:11" ht="24" thickBot="1" x14ac:dyDescent="0.6">
      <c r="A155" s="84" t="s">
        <v>64</v>
      </c>
      <c r="B155" s="85"/>
      <c r="C155" s="85"/>
      <c r="D155" s="85"/>
      <c r="E155" s="85"/>
      <c r="F155" s="85"/>
      <c r="G155" s="85"/>
      <c r="H155" s="85"/>
      <c r="I155" s="86"/>
      <c r="J155" s="87" t="e">
        <f>J150+J151+J152-J153</f>
        <v>#REF!</v>
      </c>
      <c r="K155" s="88"/>
    </row>
    <row r="156" spans="1:11" ht="24" thickBot="1" x14ac:dyDescent="0.6">
      <c r="A156" s="109" t="s">
        <v>65</v>
      </c>
      <c r="B156" s="110"/>
      <c r="C156" s="110"/>
      <c r="D156" s="110"/>
      <c r="E156" s="110"/>
      <c r="F156" s="110"/>
      <c r="G156" s="110"/>
      <c r="H156" s="110"/>
      <c r="I156" s="111"/>
      <c r="J156" s="112" t="e">
        <f>J155/J154</f>
        <v>#REF!</v>
      </c>
      <c r="K156" s="113"/>
    </row>
    <row r="157" spans="1:11" ht="24" thickBot="1" x14ac:dyDescent="0.6">
      <c r="A157" s="109" t="s">
        <v>56</v>
      </c>
      <c r="B157" s="110"/>
      <c r="C157" s="110"/>
      <c r="D157" s="110"/>
      <c r="E157" s="110"/>
      <c r="F157" s="110"/>
      <c r="G157" s="110"/>
      <c r="H157" s="110"/>
      <c r="I157" s="111"/>
      <c r="J157" s="112">
        <f>((G223+G224+G226-J138)/G225)</f>
        <v>1.0107172631881558</v>
      </c>
      <c r="K157" s="113"/>
    </row>
    <row r="158" spans="1:11" x14ac:dyDescent="0.35">
      <c r="A158" s="145" t="s">
        <v>0</v>
      </c>
      <c r="B158" s="147" t="s">
        <v>1</v>
      </c>
      <c r="C158" s="148"/>
      <c r="D158" s="148"/>
      <c r="E158" s="149"/>
      <c r="F158" s="102" t="s">
        <v>2</v>
      </c>
      <c r="G158" s="120" t="s">
        <v>53</v>
      </c>
      <c r="H158" s="102" t="s">
        <v>4</v>
      </c>
      <c r="I158" s="102" t="s">
        <v>5</v>
      </c>
      <c r="J158" s="102" t="s">
        <v>6</v>
      </c>
      <c r="K158" s="104" t="s">
        <v>7</v>
      </c>
    </row>
    <row r="159" spans="1:11" ht="15" thickBot="1" x14ac:dyDescent="0.4">
      <c r="A159" s="158"/>
      <c r="B159" s="27">
        <v>1</v>
      </c>
      <c r="C159" s="27">
        <v>2</v>
      </c>
      <c r="D159" s="27">
        <v>3</v>
      </c>
      <c r="E159" s="27">
        <v>4</v>
      </c>
      <c r="F159" s="150"/>
      <c r="G159" s="159"/>
      <c r="H159" s="150"/>
      <c r="I159" s="150"/>
      <c r="J159" s="150"/>
      <c r="K159" s="151"/>
    </row>
    <row r="160" spans="1:11" ht="24" thickBot="1" x14ac:dyDescent="0.6">
      <c r="A160" s="152" t="s">
        <v>25</v>
      </c>
      <c r="B160" s="153"/>
      <c r="C160" s="153"/>
      <c r="D160" s="153"/>
      <c r="E160" s="153"/>
      <c r="F160" s="153"/>
      <c r="G160" s="153"/>
      <c r="H160" s="153"/>
      <c r="I160" s="153"/>
      <c r="J160" s="153"/>
      <c r="K160" s="154"/>
    </row>
    <row r="161" spans="1:11" x14ac:dyDescent="0.35">
      <c r="A161" s="17"/>
      <c r="B161" s="14"/>
      <c r="C161" s="14"/>
      <c r="D161" s="14"/>
      <c r="E161" s="14"/>
      <c r="F161" s="34" t="s">
        <v>174</v>
      </c>
      <c r="G161" s="35">
        <v>147</v>
      </c>
      <c r="H161" s="36"/>
      <c r="I161" s="28"/>
      <c r="J161" s="37">
        <f>IF(G161=0,0,(I161/G161)*H161)</f>
        <v>0</v>
      </c>
      <c r="K161" s="38">
        <f>IF(G161=0,0,(((SUM(A161:E161)/G161)-(I161/G161))*26))</f>
        <v>0</v>
      </c>
    </row>
    <row r="162" spans="1:11" x14ac:dyDescent="0.35">
      <c r="A162" s="17"/>
      <c r="B162" s="15"/>
      <c r="C162" s="15"/>
      <c r="D162" s="15"/>
      <c r="E162" s="15"/>
      <c r="F162" s="34" t="s">
        <v>197</v>
      </c>
      <c r="G162" s="35" t="e">
        <f>#REF!</f>
        <v>#REF!</v>
      </c>
      <c r="H162" s="36"/>
      <c r="I162" s="17"/>
      <c r="J162" s="37" t="e">
        <f t="shared" ref="J162:J179" si="14">IF(G162=0,0,(I162/G162)*H162)</f>
        <v>#REF!</v>
      </c>
      <c r="K162" s="38" t="e">
        <f>IF(G162=0,0,(((SUM(A162:E162)/G162)-(I162/G162))*52))</f>
        <v>#REF!</v>
      </c>
    </row>
    <row r="163" spans="1:11" x14ac:dyDescent="0.35">
      <c r="A163" s="17"/>
      <c r="B163" s="15"/>
      <c r="C163" s="15"/>
      <c r="D163" s="15"/>
      <c r="E163" s="15"/>
      <c r="F163" s="34" t="s">
        <v>199</v>
      </c>
      <c r="G163" s="35" t="e">
        <f>#REF!</f>
        <v>#REF!</v>
      </c>
      <c r="H163" s="36"/>
      <c r="I163" s="17"/>
      <c r="J163" s="37" t="e">
        <f t="shared" si="14"/>
        <v>#REF!</v>
      </c>
      <c r="K163" s="38" t="e">
        <f t="shared" ref="K163:K169" si="15">IF(G163=0,0,(((SUM(A163:E163)/G163)-(I163/G163))*26))</f>
        <v>#REF!</v>
      </c>
    </row>
    <row r="164" spans="1:11" x14ac:dyDescent="0.35">
      <c r="A164" s="17"/>
      <c r="B164" s="15"/>
      <c r="C164" s="15"/>
      <c r="D164" s="15"/>
      <c r="E164" s="15"/>
      <c r="F164" s="34" t="s">
        <v>201</v>
      </c>
      <c r="G164" s="35" t="e">
        <f>#REF!</f>
        <v>#REF!</v>
      </c>
      <c r="H164" s="36"/>
      <c r="I164" s="17"/>
      <c r="J164" s="37" t="e">
        <f t="shared" si="14"/>
        <v>#REF!</v>
      </c>
      <c r="K164" s="38" t="e">
        <f>IF(G164=0,0,(((SUM(A164:E164)/G164)-(I164/G164))*52))</f>
        <v>#REF!</v>
      </c>
    </row>
    <row r="165" spans="1:11" x14ac:dyDescent="0.35">
      <c r="A165" s="29"/>
      <c r="B165" s="18"/>
      <c r="C165" s="18"/>
      <c r="D165" s="18"/>
      <c r="E165" s="18"/>
      <c r="F165" s="34" t="s">
        <v>202</v>
      </c>
      <c r="G165" s="35" t="e">
        <f>#REF!</f>
        <v>#REF!</v>
      </c>
      <c r="H165" s="36"/>
      <c r="I165" s="29"/>
      <c r="J165" s="37" t="e">
        <f t="shared" si="14"/>
        <v>#REF!</v>
      </c>
      <c r="K165" s="38" t="e">
        <f t="shared" si="15"/>
        <v>#REF!</v>
      </c>
    </row>
    <row r="166" spans="1:11" x14ac:dyDescent="0.35">
      <c r="A166" s="29"/>
      <c r="B166" s="18"/>
      <c r="C166" s="18"/>
      <c r="D166" s="18"/>
      <c r="E166" s="18"/>
      <c r="F166" s="34" t="s">
        <v>198</v>
      </c>
      <c r="G166" s="35" t="e">
        <f>#REF!</f>
        <v>#REF!</v>
      </c>
      <c r="H166" s="36"/>
      <c r="I166" s="29"/>
      <c r="J166" s="37" t="e">
        <f t="shared" si="14"/>
        <v>#REF!</v>
      </c>
      <c r="K166" s="38" t="e">
        <f>IF(G166=0,0,(((SUM(A166:E166)/G166)-(I166/G166))*52))</f>
        <v>#REF!</v>
      </c>
    </row>
    <row r="167" spans="1:11" x14ac:dyDescent="0.35">
      <c r="A167" s="29"/>
      <c r="B167" s="18"/>
      <c r="C167" s="18"/>
      <c r="D167" s="18"/>
      <c r="E167" s="18"/>
      <c r="F167" s="34" t="s">
        <v>200</v>
      </c>
      <c r="G167" s="35" t="e">
        <f>#REF!</f>
        <v>#REF!</v>
      </c>
      <c r="H167" s="36"/>
      <c r="I167" s="29"/>
      <c r="J167" s="37" t="e">
        <f t="shared" si="14"/>
        <v>#REF!</v>
      </c>
      <c r="K167" s="38" t="e">
        <f t="shared" si="15"/>
        <v>#REF!</v>
      </c>
    </row>
    <row r="168" spans="1:11" x14ac:dyDescent="0.35">
      <c r="A168" s="29"/>
      <c r="B168" s="18"/>
      <c r="C168" s="18"/>
      <c r="D168" s="18"/>
      <c r="E168" s="18"/>
      <c r="F168" s="34" t="s">
        <v>206</v>
      </c>
      <c r="G168" s="35" t="e">
        <f>#REF!</f>
        <v>#REF!</v>
      </c>
      <c r="H168" s="36"/>
      <c r="I168" s="29"/>
      <c r="J168" s="37" t="e">
        <f t="shared" si="14"/>
        <v>#REF!</v>
      </c>
      <c r="K168" s="38" t="e">
        <f>IF(G168=0,0,(((SUM(A168:E168)/G168)-(I168/G168))*52))</f>
        <v>#REF!</v>
      </c>
    </row>
    <row r="169" spans="1:11" x14ac:dyDescent="0.35">
      <c r="A169" s="29"/>
      <c r="B169" s="18"/>
      <c r="C169" s="18"/>
      <c r="D169" s="18"/>
      <c r="E169" s="18"/>
      <c r="F169" s="34" t="s">
        <v>207</v>
      </c>
      <c r="G169" s="35" t="e">
        <f>#REF!</f>
        <v>#REF!</v>
      </c>
      <c r="H169" s="36"/>
      <c r="I169" s="29"/>
      <c r="J169" s="37" t="e">
        <f t="shared" si="14"/>
        <v>#REF!</v>
      </c>
      <c r="K169" s="38" t="e">
        <f t="shared" si="15"/>
        <v>#REF!</v>
      </c>
    </row>
    <row r="170" spans="1:11" x14ac:dyDescent="0.35">
      <c r="A170" s="29"/>
      <c r="B170" s="18"/>
      <c r="C170" s="18"/>
      <c r="D170" s="18"/>
      <c r="E170" s="18"/>
      <c r="F170" s="34" t="s">
        <v>211</v>
      </c>
      <c r="G170" s="35"/>
      <c r="H170" s="36"/>
      <c r="I170" s="29"/>
      <c r="J170" s="37">
        <f t="shared" si="14"/>
        <v>0</v>
      </c>
      <c r="K170" s="38">
        <f>IF(G170=0,0,(((SUM(A170:E170)/G170)-(I170/G170))*52))</f>
        <v>0</v>
      </c>
    </row>
    <row r="171" spans="1:11" x14ac:dyDescent="0.35">
      <c r="A171" s="29"/>
      <c r="B171" s="18"/>
      <c r="C171" s="18"/>
      <c r="D171" s="18"/>
      <c r="E171" s="18"/>
      <c r="F171" s="34" t="s">
        <v>212</v>
      </c>
      <c r="G171" s="35">
        <v>40.950000000000003</v>
      </c>
      <c r="H171" s="36"/>
      <c r="I171" s="29"/>
      <c r="J171" s="37">
        <f t="shared" si="14"/>
        <v>0</v>
      </c>
      <c r="K171" s="38">
        <f t="shared" ref="K171:K179" si="16">IF(G171=0,0,(((SUM(A171:E171)/G171)-(I171/G171))*52))</f>
        <v>0</v>
      </c>
    </row>
    <row r="172" spans="1:11" x14ac:dyDescent="0.35">
      <c r="A172" s="29"/>
      <c r="B172" s="18"/>
      <c r="C172" s="18"/>
      <c r="D172" s="18"/>
      <c r="E172" s="18"/>
      <c r="F172" s="34" t="s">
        <v>211</v>
      </c>
      <c r="G172" s="35">
        <v>40.950000000000003</v>
      </c>
      <c r="H172" s="36"/>
      <c r="I172" s="29"/>
      <c r="J172" s="37">
        <f t="shared" si="14"/>
        <v>0</v>
      </c>
      <c r="K172" s="38">
        <f t="shared" si="16"/>
        <v>0</v>
      </c>
    </row>
    <row r="173" spans="1:11" x14ac:dyDescent="0.35">
      <c r="A173" s="29"/>
      <c r="B173" s="18"/>
      <c r="C173" s="18"/>
      <c r="D173" s="18"/>
      <c r="E173" s="18"/>
      <c r="F173" s="34"/>
      <c r="G173" s="35" t="e">
        <f>#REF!</f>
        <v>#REF!</v>
      </c>
      <c r="H173" s="36"/>
      <c r="I173" s="29"/>
      <c r="J173" s="37" t="e">
        <f t="shared" si="14"/>
        <v>#REF!</v>
      </c>
      <c r="K173" s="38" t="e">
        <f t="shared" si="16"/>
        <v>#REF!</v>
      </c>
    </row>
    <row r="174" spans="1:11" ht="24" customHeight="1" x14ac:dyDescent="0.35">
      <c r="A174" s="29"/>
      <c r="B174" s="18"/>
      <c r="C174" s="18"/>
      <c r="D174" s="18"/>
      <c r="E174" s="18"/>
      <c r="F174" s="34" t="e">
        <f>#REF!</f>
        <v>#REF!</v>
      </c>
      <c r="G174" s="35" t="e">
        <f>#REF!</f>
        <v>#REF!</v>
      </c>
      <c r="H174" s="36"/>
      <c r="I174" s="29"/>
      <c r="J174" s="37" t="e">
        <f t="shared" si="14"/>
        <v>#REF!</v>
      </c>
      <c r="K174" s="38" t="e">
        <f t="shared" si="16"/>
        <v>#REF!</v>
      </c>
    </row>
    <row r="175" spans="1:11" ht="19.5" customHeight="1" x14ac:dyDescent="0.35">
      <c r="A175" s="29"/>
      <c r="B175" s="18"/>
      <c r="C175" s="18"/>
      <c r="D175" s="18"/>
      <c r="E175" s="18"/>
      <c r="F175" s="34" t="e">
        <f>#REF!</f>
        <v>#REF!</v>
      </c>
      <c r="G175" s="35" t="e">
        <f>#REF!</f>
        <v>#REF!</v>
      </c>
      <c r="H175" s="36"/>
      <c r="I175" s="29"/>
      <c r="J175" s="37" t="e">
        <f t="shared" si="14"/>
        <v>#REF!</v>
      </c>
      <c r="K175" s="38" t="e">
        <f t="shared" si="16"/>
        <v>#REF!</v>
      </c>
    </row>
    <row r="176" spans="1:11" ht="19.5" customHeight="1" x14ac:dyDescent="0.35">
      <c r="A176" s="29"/>
      <c r="B176" s="18"/>
      <c r="C176" s="18"/>
      <c r="D176" s="18"/>
      <c r="E176" s="18"/>
      <c r="F176" s="34"/>
      <c r="G176" s="35" t="e">
        <f>#REF!</f>
        <v>#REF!</v>
      </c>
      <c r="H176" s="36" t="e">
        <f>#REF!</f>
        <v>#REF!</v>
      </c>
      <c r="I176" s="29"/>
      <c r="J176" s="37" t="e">
        <f t="shared" si="14"/>
        <v>#REF!</v>
      </c>
      <c r="K176" s="38" t="e">
        <f t="shared" si="16"/>
        <v>#REF!</v>
      </c>
    </row>
    <row r="177" spans="1:11" ht="19.5" customHeight="1" x14ac:dyDescent="0.35">
      <c r="A177" s="29"/>
      <c r="B177" s="18"/>
      <c r="C177" s="18"/>
      <c r="D177" s="18"/>
      <c r="E177" s="18"/>
      <c r="F177" s="34"/>
      <c r="G177" s="35" t="e">
        <f>#REF!</f>
        <v>#REF!</v>
      </c>
      <c r="H177" s="36" t="e">
        <f>#REF!</f>
        <v>#REF!</v>
      </c>
      <c r="I177" s="29"/>
      <c r="J177" s="37" t="e">
        <f t="shared" si="14"/>
        <v>#REF!</v>
      </c>
      <c r="K177" s="38" t="e">
        <f t="shared" si="16"/>
        <v>#REF!</v>
      </c>
    </row>
    <row r="178" spans="1:11" ht="19.5" customHeight="1" x14ac:dyDescent="0.35">
      <c r="A178" s="29"/>
      <c r="B178" s="18"/>
      <c r="C178" s="18"/>
      <c r="D178" s="18"/>
      <c r="E178" s="18"/>
      <c r="F178" s="34"/>
      <c r="G178" s="35" t="e">
        <f>#REF!</f>
        <v>#REF!</v>
      </c>
      <c r="H178" s="36" t="e">
        <f>#REF!</f>
        <v>#REF!</v>
      </c>
      <c r="I178" s="29"/>
      <c r="J178" s="37" t="e">
        <f t="shared" si="14"/>
        <v>#REF!</v>
      </c>
      <c r="K178" s="38" t="e">
        <f t="shared" si="16"/>
        <v>#REF!</v>
      </c>
    </row>
    <row r="179" spans="1:11" ht="15" customHeight="1" thickBot="1" x14ac:dyDescent="0.4">
      <c r="A179" s="29"/>
      <c r="B179" s="18"/>
      <c r="C179" s="18"/>
      <c r="D179" s="18"/>
      <c r="E179" s="18"/>
      <c r="F179" s="34"/>
      <c r="G179" s="35" t="e">
        <f>#REF!</f>
        <v>#REF!</v>
      </c>
      <c r="H179" s="36" t="e">
        <f>#REF!</f>
        <v>#REF!</v>
      </c>
      <c r="I179" s="29"/>
      <c r="J179" s="37" t="e">
        <f t="shared" si="14"/>
        <v>#REF!</v>
      </c>
      <c r="K179" s="38" t="e">
        <f t="shared" si="16"/>
        <v>#REF!</v>
      </c>
    </row>
    <row r="180" spans="1:11" ht="15" customHeight="1" thickBot="1" x14ac:dyDescent="0.6">
      <c r="A180" s="155" t="s">
        <v>26</v>
      </c>
      <c r="B180" s="156"/>
      <c r="C180" s="156"/>
      <c r="D180" s="156"/>
      <c r="E180" s="156"/>
      <c r="F180" s="156"/>
      <c r="G180" s="156"/>
      <c r="H180" s="156"/>
      <c r="I180" s="156"/>
      <c r="J180" s="156"/>
      <c r="K180" s="157"/>
    </row>
    <row r="181" spans="1:11" ht="15" customHeight="1" x14ac:dyDescent="0.35">
      <c r="A181" s="24"/>
      <c r="B181" s="52"/>
      <c r="C181" s="52"/>
      <c r="D181" s="52"/>
      <c r="E181" s="52"/>
      <c r="F181" s="66" t="s">
        <v>203</v>
      </c>
      <c r="G181" s="67" t="e">
        <f>#REF!</f>
        <v>#REF!</v>
      </c>
      <c r="H181" s="68"/>
      <c r="I181" s="24"/>
      <c r="J181" s="69" t="e">
        <f>IF(G181=0,0,(I181/G181)*H181)</f>
        <v>#REF!</v>
      </c>
      <c r="K181" s="70" t="e">
        <f>IF(G181=0,0,(((SUM(A181:E181)/G181)-(I181/G181))*26))</f>
        <v>#REF!</v>
      </c>
    </row>
    <row r="182" spans="1:11" ht="15" customHeight="1" x14ac:dyDescent="0.35">
      <c r="A182" s="17"/>
      <c r="B182" s="15"/>
      <c r="C182" s="15"/>
      <c r="D182" s="15"/>
      <c r="E182" s="15"/>
      <c r="F182" s="63" t="s">
        <v>210</v>
      </c>
      <c r="G182" s="64"/>
      <c r="H182" s="65"/>
      <c r="I182" s="17"/>
      <c r="J182" s="39">
        <f t="shared" ref="J182:J197" si="17">IF(G182=0,0,(I182/G182)*H182)</f>
        <v>0</v>
      </c>
      <c r="K182" s="40">
        <f>IF(G182=0,0,(((SUM(A182:E182)/G182)-(I182/G182))*52))</f>
        <v>0</v>
      </c>
    </row>
    <row r="183" spans="1:11" ht="15" customHeight="1" x14ac:dyDescent="0.35">
      <c r="A183" s="17"/>
      <c r="B183" s="15"/>
      <c r="C183" s="15"/>
      <c r="D183" s="15"/>
      <c r="E183" s="15"/>
      <c r="F183" s="63" t="s">
        <v>204</v>
      </c>
      <c r="G183" s="64" t="e">
        <f>#REF!</f>
        <v>#REF!</v>
      </c>
      <c r="H183" s="65"/>
      <c r="I183" s="17"/>
      <c r="J183" s="39" t="e">
        <f t="shared" si="17"/>
        <v>#REF!</v>
      </c>
      <c r="K183" s="40" t="e">
        <f t="shared" ref="K183:K188" si="18">IF(G183=0,0,(((SUM(A183:E183)/G183)-(I183/G183))*26))</f>
        <v>#REF!</v>
      </c>
    </row>
    <row r="184" spans="1:11" ht="15" customHeight="1" x14ac:dyDescent="0.35">
      <c r="A184" s="17"/>
      <c r="B184" s="15"/>
      <c r="C184" s="15"/>
      <c r="D184" s="15"/>
      <c r="E184" s="15"/>
      <c r="F184" s="63" t="s">
        <v>164</v>
      </c>
      <c r="G184" s="64" t="e">
        <f>#REF!</f>
        <v>#REF!</v>
      </c>
      <c r="H184" s="65"/>
      <c r="I184" s="17"/>
      <c r="J184" s="39" t="e">
        <f t="shared" si="17"/>
        <v>#REF!</v>
      </c>
      <c r="K184" s="40" t="e">
        <f>IF(G184=0,0,(((SUM(A184:E184)/G184)-(I184/G184))*52))</f>
        <v>#REF!</v>
      </c>
    </row>
    <row r="185" spans="1:11" ht="15" customHeight="1" x14ac:dyDescent="0.35">
      <c r="A185" s="17"/>
      <c r="B185" s="15"/>
      <c r="C185" s="15"/>
      <c r="D185" s="15"/>
      <c r="E185" s="15"/>
      <c r="F185" s="63" t="s">
        <v>205</v>
      </c>
      <c r="G185" s="64" t="e">
        <f>#REF!</f>
        <v>#REF!</v>
      </c>
      <c r="H185" s="65"/>
      <c r="I185" s="17"/>
      <c r="J185" s="39" t="e">
        <f t="shared" si="17"/>
        <v>#REF!</v>
      </c>
      <c r="K185" s="40" t="e">
        <f>IF(G185=0,0,(((SUM(A185:E185)/G185)-(I185/G185))*52))</f>
        <v>#REF!</v>
      </c>
    </row>
    <row r="186" spans="1:11" ht="15" customHeight="1" x14ac:dyDescent="0.35">
      <c r="A186" s="17"/>
      <c r="B186" s="15"/>
      <c r="C186" s="15"/>
      <c r="D186" s="15"/>
      <c r="E186" s="15"/>
      <c r="F186" s="63" t="s">
        <v>209</v>
      </c>
      <c r="G186" s="64" t="e">
        <f>#REF!</f>
        <v>#REF!</v>
      </c>
      <c r="H186" s="65"/>
      <c r="I186" s="17"/>
      <c r="J186" s="39" t="e">
        <f t="shared" si="17"/>
        <v>#REF!</v>
      </c>
      <c r="K186" s="40" t="e">
        <f t="shared" si="18"/>
        <v>#REF!</v>
      </c>
    </row>
    <row r="187" spans="1:11" ht="20.149999999999999" customHeight="1" x14ac:dyDescent="0.35">
      <c r="A187" s="17"/>
      <c r="B187" s="15"/>
      <c r="C187" s="15"/>
      <c r="D187" s="15"/>
      <c r="E187" s="15"/>
      <c r="F187" s="63" t="s">
        <v>208</v>
      </c>
      <c r="G187" s="64" t="e">
        <f>#REF!</f>
        <v>#REF!</v>
      </c>
      <c r="H187" s="65"/>
      <c r="I187" s="17"/>
      <c r="J187" s="39" t="e">
        <f t="shared" si="17"/>
        <v>#REF!</v>
      </c>
      <c r="K187" s="40" t="e">
        <f>IF(G187=0,0,(((SUM(A187:E187)/G187)-(I187/G187))*52))</f>
        <v>#REF!</v>
      </c>
    </row>
    <row r="188" spans="1:11" ht="20.149999999999999" customHeight="1" x14ac:dyDescent="0.35">
      <c r="A188" s="17"/>
      <c r="B188" s="15"/>
      <c r="C188" s="15"/>
      <c r="D188" s="15"/>
      <c r="E188" s="15"/>
      <c r="F188" s="63"/>
      <c r="G188" s="64" t="e">
        <f>#REF!</f>
        <v>#REF!</v>
      </c>
      <c r="H188" s="65"/>
      <c r="I188" s="17"/>
      <c r="J188" s="39" t="e">
        <f t="shared" si="17"/>
        <v>#REF!</v>
      </c>
      <c r="K188" s="40" t="e">
        <f t="shared" si="18"/>
        <v>#REF!</v>
      </c>
    </row>
    <row r="189" spans="1:11" ht="20.149999999999999" customHeight="1" x14ac:dyDescent="0.35">
      <c r="A189" s="17"/>
      <c r="B189" s="15"/>
      <c r="C189" s="15"/>
      <c r="D189" s="15"/>
      <c r="E189" s="15"/>
      <c r="F189" s="63"/>
      <c r="G189" s="64" t="e">
        <f>#REF!</f>
        <v>#REF!</v>
      </c>
      <c r="H189" s="65"/>
      <c r="I189" s="17"/>
      <c r="J189" s="39" t="e">
        <f t="shared" si="17"/>
        <v>#REF!</v>
      </c>
      <c r="K189" s="40" t="e">
        <f>IF(G189=0,0,(((SUM(A189:E189)/G189)-(I189/G189))*52))</f>
        <v>#REF!</v>
      </c>
    </row>
    <row r="190" spans="1:11" ht="20.149999999999999" customHeight="1" x14ac:dyDescent="0.35">
      <c r="A190" s="17"/>
      <c r="B190" s="15"/>
      <c r="C190" s="15"/>
      <c r="D190" s="15"/>
      <c r="E190" s="15"/>
      <c r="F190" s="34"/>
      <c r="G190" s="64">
        <v>40.950000000000003</v>
      </c>
      <c r="H190" s="65"/>
      <c r="I190" s="17"/>
      <c r="J190" s="39">
        <f t="shared" si="17"/>
        <v>0</v>
      </c>
      <c r="K190" s="40">
        <f t="shared" ref="K190:K197" si="19">IF(G190=0,0,(((SUM(A190:E190)/G190)-(I190/G190))*52))</f>
        <v>0</v>
      </c>
    </row>
    <row r="191" spans="1:11" ht="20.149999999999999" customHeight="1" x14ac:dyDescent="0.35">
      <c r="A191" s="17"/>
      <c r="B191" s="15"/>
      <c r="C191" s="15"/>
      <c r="D191" s="15"/>
      <c r="E191" s="15"/>
      <c r="F191" s="63"/>
      <c r="G191" s="64">
        <v>40.950000000000003</v>
      </c>
      <c r="H191" s="65"/>
      <c r="I191" s="17"/>
      <c r="J191" s="39">
        <f t="shared" si="17"/>
        <v>0</v>
      </c>
      <c r="K191" s="40">
        <f t="shared" si="19"/>
        <v>0</v>
      </c>
    </row>
    <row r="192" spans="1:11" x14ac:dyDescent="0.35">
      <c r="A192" s="17"/>
      <c r="B192" s="15"/>
      <c r="C192" s="15"/>
      <c r="D192" s="15"/>
      <c r="E192" s="15"/>
      <c r="F192" s="63"/>
      <c r="G192" s="64">
        <v>39.4</v>
      </c>
      <c r="H192" s="65"/>
      <c r="I192" s="17"/>
      <c r="J192" s="39">
        <f t="shared" si="17"/>
        <v>0</v>
      </c>
      <c r="K192" s="40">
        <f t="shared" si="19"/>
        <v>0</v>
      </c>
    </row>
    <row r="193" spans="1:13" ht="20.149999999999999" customHeight="1" x14ac:dyDescent="0.35">
      <c r="A193" s="17"/>
      <c r="B193" s="15"/>
      <c r="C193" s="15"/>
      <c r="D193" s="15"/>
      <c r="E193" s="15"/>
      <c r="F193" s="63" t="e">
        <f>#REF!</f>
        <v>#REF!</v>
      </c>
      <c r="G193" s="64" t="e">
        <f>#REF!</f>
        <v>#REF!</v>
      </c>
      <c r="H193" s="65"/>
      <c r="I193" s="17"/>
      <c r="J193" s="39" t="e">
        <f t="shared" si="17"/>
        <v>#REF!</v>
      </c>
      <c r="K193" s="40" t="e">
        <f t="shared" si="19"/>
        <v>#REF!</v>
      </c>
    </row>
    <row r="194" spans="1:13" ht="20.149999999999999" customHeight="1" x14ac:dyDescent="0.35">
      <c r="A194" s="17"/>
      <c r="B194" s="15"/>
      <c r="C194" s="15"/>
      <c r="D194" s="15"/>
      <c r="E194" s="15"/>
      <c r="F194" s="63" t="e">
        <f>#REF!</f>
        <v>#REF!</v>
      </c>
      <c r="G194" s="64" t="e">
        <f>#REF!</f>
        <v>#REF!</v>
      </c>
      <c r="H194" s="65"/>
      <c r="I194" s="17"/>
      <c r="J194" s="39" t="e">
        <f t="shared" si="17"/>
        <v>#REF!</v>
      </c>
      <c r="K194" s="40" t="e">
        <f t="shared" si="19"/>
        <v>#REF!</v>
      </c>
    </row>
    <row r="195" spans="1:13" ht="20.149999999999999" customHeight="1" x14ac:dyDescent="0.35">
      <c r="A195" s="17"/>
      <c r="B195" s="15"/>
      <c r="C195" s="15"/>
      <c r="D195" s="15"/>
      <c r="E195" s="15"/>
      <c r="F195" s="63" t="e">
        <f>#REF!</f>
        <v>#REF!</v>
      </c>
      <c r="G195" s="64" t="e">
        <f>#REF!</f>
        <v>#REF!</v>
      </c>
      <c r="H195" s="65"/>
      <c r="I195" s="17"/>
      <c r="J195" s="39" t="e">
        <f t="shared" si="17"/>
        <v>#REF!</v>
      </c>
      <c r="K195" s="40" t="e">
        <f t="shared" si="19"/>
        <v>#REF!</v>
      </c>
    </row>
    <row r="196" spans="1:13" ht="20.149999999999999" customHeight="1" x14ac:dyDescent="0.35">
      <c r="A196" s="17"/>
      <c r="B196" s="15"/>
      <c r="C196" s="15"/>
      <c r="D196" s="15"/>
      <c r="E196" s="15"/>
      <c r="F196" s="63" t="e">
        <f>#REF!</f>
        <v>#REF!</v>
      </c>
      <c r="G196" s="64" t="e">
        <f>#REF!</f>
        <v>#REF!</v>
      </c>
      <c r="H196" s="65"/>
      <c r="I196" s="17"/>
      <c r="J196" s="39" t="e">
        <f t="shared" si="17"/>
        <v>#REF!</v>
      </c>
      <c r="K196" s="40" t="e">
        <f t="shared" si="19"/>
        <v>#REF!</v>
      </c>
    </row>
    <row r="197" spans="1:13" ht="20.149999999999999" customHeight="1" thickBot="1" x14ac:dyDescent="0.4">
      <c r="A197" s="33"/>
      <c r="B197" s="32"/>
      <c r="C197" s="32"/>
      <c r="D197" s="32"/>
      <c r="E197" s="32"/>
      <c r="F197" s="71" t="e">
        <f>#REF!</f>
        <v>#REF!</v>
      </c>
      <c r="G197" s="72" t="e">
        <f>#REF!</f>
        <v>#REF!</v>
      </c>
      <c r="H197" s="73"/>
      <c r="I197" s="33"/>
      <c r="J197" s="74" t="e">
        <f t="shared" si="17"/>
        <v>#REF!</v>
      </c>
      <c r="K197" s="75" t="e">
        <f t="shared" si="19"/>
        <v>#REF!</v>
      </c>
    </row>
    <row r="198" spans="1:13" ht="20.149999999999999" customHeight="1" thickBot="1" x14ac:dyDescent="0.6">
      <c r="A198" s="109" t="s">
        <v>9</v>
      </c>
      <c r="B198" s="110"/>
      <c r="C198" s="110"/>
      <c r="D198" s="110"/>
      <c r="E198" s="110"/>
      <c r="F198" s="110"/>
      <c r="G198" s="110"/>
      <c r="H198" s="110"/>
      <c r="I198" s="111"/>
      <c r="J198" s="87">
        <v>409.95678002576386</v>
      </c>
      <c r="K198" s="88"/>
    </row>
    <row r="199" spans="1:13" ht="20.149999999999999" customHeight="1" thickBot="1" x14ac:dyDescent="0.6">
      <c r="A199" s="109" t="s">
        <v>27</v>
      </c>
      <c r="B199" s="110"/>
      <c r="C199" s="110"/>
      <c r="D199" s="110"/>
      <c r="E199" s="110"/>
      <c r="F199" s="110"/>
      <c r="G199" s="110"/>
      <c r="H199" s="110"/>
      <c r="I199" s="111"/>
      <c r="J199" s="89">
        <v>0</v>
      </c>
      <c r="K199" s="90"/>
    </row>
    <row r="200" spans="1:13" ht="24" thickBot="1" x14ac:dyDescent="0.6">
      <c r="A200" s="109" t="s">
        <v>55</v>
      </c>
      <c r="B200" s="110"/>
      <c r="C200" s="110"/>
      <c r="D200" s="110"/>
      <c r="E200" s="110"/>
      <c r="F200" s="110"/>
      <c r="G200" s="110"/>
      <c r="H200" s="110"/>
      <c r="I200" s="111"/>
      <c r="J200" s="89">
        <v>0</v>
      </c>
      <c r="K200" s="90"/>
    </row>
    <row r="201" spans="1:13" ht="24" thickBot="1" x14ac:dyDescent="0.6">
      <c r="A201" s="109" t="s">
        <v>11</v>
      </c>
      <c r="B201" s="110"/>
      <c r="C201" s="110"/>
      <c r="D201" s="110"/>
      <c r="E201" s="110"/>
      <c r="F201" s="110"/>
      <c r="G201" s="110"/>
      <c r="H201" s="110"/>
      <c r="I201" s="111"/>
      <c r="J201" s="87" t="e">
        <f>SUM(J161:J172)+SUM(J181:J192)</f>
        <v>#REF!</v>
      </c>
      <c r="K201" s="88"/>
    </row>
    <row r="202" spans="1:13" ht="24" customHeight="1" thickBot="1" x14ac:dyDescent="0.6">
      <c r="A202" s="109" t="s">
        <v>28</v>
      </c>
      <c r="B202" s="110"/>
      <c r="C202" s="110"/>
      <c r="D202" s="110"/>
      <c r="E202" s="110"/>
      <c r="F202" s="110"/>
      <c r="G202" s="110"/>
      <c r="H202" s="110"/>
      <c r="I202" s="111"/>
      <c r="J202" s="165">
        <v>348.25</v>
      </c>
      <c r="K202" s="166"/>
    </row>
    <row r="203" spans="1:13" ht="24" thickBot="1" x14ac:dyDescent="0.6">
      <c r="A203" s="109" t="s">
        <v>29</v>
      </c>
      <c r="B203" s="110"/>
      <c r="C203" s="110"/>
      <c r="D203" s="110"/>
      <c r="E203" s="110"/>
      <c r="F203" s="110"/>
      <c r="G203" s="110"/>
      <c r="H203" s="110"/>
      <c r="I203" s="111"/>
      <c r="J203" s="87" t="e">
        <f>J198+J199+J200-J201</f>
        <v>#REF!</v>
      </c>
      <c r="K203" s="88"/>
    </row>
    <row r="204" spans="1:13" ht="24" thickBot="1" x14ac:dyDescent="0.6">
      <c r="A204" s="109" t="s">
        <v>30</v>
      </c>
      <c r="B204" s="110"/>
      <c r="C204" s="110"/>
      <c r="D204" s="110"/>
      <c r="E204" s="110"/>
      <c r="F204" s="110"/>
      <c r="G204" s="110"/>
      <c r="H204" s="110"/>
      <c r="I204" s="111"/>
      <c r="J204" s="112" t="e">
        <f>J203/J202</f>
        <v>#REF!</v>
      </c>
      <c r="K204" s="113"/>
      <c r="L204" s="3"/>
      <c r="M204" s="2"/>
    </row>
    <row r="205" spans="1:13" ht="24" thickBot="1" x14ac:dyDescent="0.6">
      <c r="A205" s="85" t="s">
        <v>56</v>
      </c>
      <c r="B205" s="85"/>
      <c r="C205" s="85"/>
      <c r="D205" s="85"/>
      <c r="E205" s="85"/>
      <c r="F205" s="85"/>
      <c r="G205" s="85"/>
      <c r="H205" s="85"/>
      <c r="I205" s="86"/>
      <c r="J205" s="112" t="e">
        <f>((H223+H224+H226-J201)/H225)</f>
        <v>#REF!</v>
      </c>
      <c r="K205" s="113"/>
      <c r="L205" s="3"/>
      <c r="M205" s="2"/>
    </row>
    <row r="206" spans="1:13" ht="24" thickBot="1" x14ac:dyDescent="0.6">
      <c r="A206" s="160" t="s">
        <v>31</v>
      </c>
      <c r="B206" s="161"/>
      <c r="C206" s="161"/>
      <c r="D206" s="161"/>
      <c r="E206" s="161"/>
      <c r="F206" s="161"/>
      <c r="G206" s="161"/>
      <c r="H206" s="161"/>
      <c r="I206" s="162"/>
      <c r="J206" s="163">
        <v>4318.1256176473144</v>
      </c>
      <c r="K206" s="164"/>
      <c r="L206" s="3"/>
      <c r="M206" s="2"/>
    </row>
    <row r="207" spans="1:13" ht="24" thickBot="1" x14ac:dyDescent="0.6">
      <c r="A207" s="160" t="s">
        <v>32</v>
      </c>
      <c r="B207" s="161"/>
      <c r="C207" s="161"/>
      <c r="D207" s="161"/>
      <c r="E207" s="161"/>
      <c r="F207" s="161"/>
      <c r="G207" s="161"/>
      <c r="H207" s="161"/>
      <c r="I207" s="162"/>
      <c r="J207" s="163">
        <f>J57+J136+J199+J151</f>
        <v>0</v>
      </c>
      <c r="K207" s="164"/>
      <c r="L207" s="3"/>
      <c r="M207" s="2"/>
    </row>
    <row r="208" spans="1:13" ht="24" thickBot="1" x14ac:dyDescent="0.6">
      <c r="A208" s="160" t="s">
        <v>54</v>
      </c>
      <c r="B208" s="161"/>
      <c r="C208" s="161"/>
      <c r="D208" s="161"/>
      <c r="E208" s="161"/>
      <c r="F208" s="161"/>
      <c r="G208" s="161"/>
      <c r="H208" s="161"/>
      <c r="I208" s="162"/>
      <c r="J208" s="163">
        <f>J58+J137+J200+J152</f>
        <v>0</v>
      </c>
      <c r="K208" s="164"/>
      <c r="L208" s="3"/>
      <c r="M208" s="2"/>
    </row>
    <row r="209" spans="1:13" ht="24" thickBot="1" x14ac:dyDescent="0.6">
      <c r="A209" s="160" t="s">
        <v>33</v>
      </c>
      <c r="B209" s="161"/>
      <c r="C209" s="161"/>
      <c r="D209" s="161"/>
      <c r="E209" s="161"/>
      <c r="F209" s="161"/>
      <c r="G209" s="161"/>
      <c r="H209" s="161"/>
      <c r="I209" s="162"/>
      <c r="J209" s="163" t="e">
        <f>J59+J138+J201+J153</f>
        <v>#DIV/0!</v>
      </c>
      <c r="K209" s="164"/>
      <c r="L209" s="3"/>
      <c r="M209" s="2"/>
    </row>
    <row r="210" spans="1:13" ht="24" thickBot="1" x14ac:dyDescent="0.6">
      <c r="A210" s="160" t="s">
        <v>34</v>
      </c>
      <c r="B210" s="161"/>
      <c r="C210" s="161"/>
      <c r="D210" s="161"/>
      <c r="E210" s="161"/>
      <c r="F210" s="161"/>
      <c r="G210" s="161"/>
      <c r="H210" s="161"/>
      <c r="I210" s="162"/>
      <c r="J210" s="163">
        <f>J60+J139+J202+J154</f>
        <v>3485.75</v>
      </c>
      <c r="K210" s="164"/>
      <c r="L210" s="3"/>
      <c r="M210" s="2"/>
    </row>
    <row r="211" spans="1:13" ht="24" thickBot="1" x14ac:dyDescent="0.6">
      <c r="A211" s="160" t="s">
        <v>35</v>
      </c>
      <c r="B211" s="161"/>
      <c r="C211" s="161"/>
      <c r="D211" s="161"/>
      <c r="E211" s="161"/>
      <c r="F211" s="161"/>
      <c r="G211" s="161"/>
      <c r="H211" s="161"/>
      <c r="I211" s="162"/>
      <c r="J211" s="163" t="e">
        <f>J206+J207+J208-J209</f>
        <v>#DIV/0!</v>
      </c>
      <c r="K211" s="164"/>
      <c r="L211" s="3"/>
      <c r="M211" s="2"/>
    </row>
    <row r="212" spans="1:13" ht="24" thickBot="1" x14ac:dyDescent="0.6">
      <c r="A212" s="160" t="s">
        <v>36</v>
      </c>
      <c r="B212" s="161"/>
      <c r="C212" s="161"/>
      <c r="D212" s="161"/>
      <c r="E212" s="161"/>
      <c r="F212" s="161"/>
      <c r="G212" s="161"/>
      <c r="H212" s="161"/>
      <c r="I212" s="162"/>
      <c r="J212" s="167" t="e">
        <f>J211/J210</f>
        <v>#DIV/0!</v>
      </c>
      <c r="K212" s="168"/>
      <c r="L212" s="3"/>
      <c r="M212" s="2"/>
    </row>
    <row r="213" spans="1:13" ht="24" thickBot="1" x14ac:dyDescent="0.6">
      <c r="A213" s="169" t="s">
        <v>57</v>
      </c>
      <c r="B213" s="170"/>
      <c r="C213" s="170"/>
      <c r="D213" s="170"/>
      <c r="E213" s="170"/>
      <c r="F213" s="170"/>
      <c r="G213" s="170"/>
      <c r="H213" s="170"/>
      <c r="I213" s="171"/>
      <c r="J213" s="172" t="e">
        <f>((K223+K224+K226-J209))/K225</f>
        <v>#DIV/0!</v>
      </c>
      <c r="K213" s="173"/>
      <c r="L213" s="3"/>
      <c r="M213" s="2"/>
    </row>
    <row r="214" spans="1:13" ht="24" thickBot="1" x14ac:dyDescent="0.6">
      <c r="A214" s="190" t="s">
        <v>37</v>
      </c>
      <c r="B214" s="191"/>
      <c r="C214" s="191"/>
      <c r="D214" s="191"/>
      <c r="E214" s="191"/>
      <c r="F214" s="191"/>
      <c r="G214" s="191"/>
      <c r="H214" s="191"/>
      <c r="I214" s="191"/>
      <c r="J214" s="191"/>
      <c r="K214" s="192"/>
      <c r="L214" s="3"/>
      <c r="M214" s="2"/>
    </row>
    <row r="215" spans="1:13" ht="15" thickBot="1" x14ac:dyDescent="0.4">
      <c r="A215" s="193" t="s">
        <v>8</v>
      </c>
      <c r="B215" s="194"/>
      <c r="C215" s="194"/>
      <c r="D215" s="194"/>
      <c r="E215" s="195"/>
      <c r="F215" s="20" t="s">
        <v>38</v>
      </c>
      <c r="G215" s="19" t="s">
        <v>42</v>
      </c>
      <c r="H215" s="19" t="s">
        <v>43</v>
      </c>
      <c r="I215" s="19" t="s">
        <v>47</v>
      </c>
      <c r="J215" s="21" t="s">
        <v>46</v>
      </c>
      <c r="K215" s="21" t="s">
        <v>71</v>
      </c>
      <c r="L215" s="3"/>
      <c r="M215" s="2"/>
    </row>
    <row r="216" spans="1:13" x14ac:dyDescent="0.35">
      <c r="A216" s="196" t="s">
        <v>39</v>
      </c>
      <c r="B216" s="197"/>
      <c r="C216" s="197"/>
      <c r="D216" s="197"/>
      <c r="E216" s="198"/>
      <c r="F216" s="22">
        <v>70</v>
      </c>
      <c r="G216" s="46" t="s">
        <v>38</v>
      </c>
      <c r="H216" s="23"/>
      <c r="I216" s="24">
        <v>1</v>
      </c>
      <c r="J216" s="24">
        <v>13</v>
      </c>
      <c r="K216" s="25">
        <v>40</v>
      </c>
      <c r="L216" s="3"/>
      <c r="M216" s="2"/>
    </row>
    <row r="217" spans="1:13" ht="15" thickBot="1" x14ac:dyDescent="0.4">
      <c r="A217" s="199" t="s">
        <v>40</v>
      </c>
      <c r="B217" s="200"/>
      <c r="C217" s="200"/>
      <c r="D217" s="200"/>
      <c r="E217" s="201"/>
      <c r="F217" s="26">
        <v>36</v>
      </c>
      <c r="G217" s="47" t="s">
        <v>52</v>
      </c>
      <c r="H217" s="185" t="e">
        <f>(H216*34)+(I216*17)+(J216*8)+(K216*6)-((SUM(K161:K171))+(SUM(K181:K189)))</f>
        <v>#REF!</v>
      </c>
      <c r="I217" s="186"/>
      <c r="J217" s="186"/>
      <c r="K217" s="187"/>
      <c r="L217" s="3"/>
    </row>
    <row r="218" spans="1:13" ht="15" thickBot="1" x14ac:dyDescent="0.4">
      <c r="A218" s="199" t="s">
        <v>41</v>
      </c>
      <c r="B218" s="200"/>
      <c r="C218" s="200"/>
      <c r="D218" s="200"/>
      <c r="E218" s="201"/>
      <c r="F218" s="26">
        <v>0</v>
      </c>
      <c r="G218" s="202" t="s">
        <v>45</v>
      </c>
      <c r="H218" s="203"/>
      <c r="I218" s="203"/>
      <c r="J218" s="203"/>
      <c r="K218" s="204"/>
      <c r="L218" s="3"/>
    </row>
    <row r="219" spans="1:13" x14ac:dyDescent="0.35">
      <c r="A219" s="174" t="s">
        <v>48</v>
      </c>
      <c r="B219" s="175"/>
      <c r="C219" s="175"/>
      <c r="D219" s="175"/>
      <c r="E219" s="176"/>
      <c r="F219" s="180" t="e">
        <f>(F216+(F217*2)+(F218*3))-(SUM(K5:K37))</f>
        <v>#DIV/0!</v>
      </c>
      <c r="G219" s="46" t="s">
        <v>38</v>
      </c>
      <c r="H219" s="182">
        <v>287</v>
      </c>
      <c r="I219" s="183"/>
      <c r="J219" s="183"/>
      <c r="K219" s="184"/>
      <c r="L219" s="3"/>
    </row>
    <row r="220" spans="1:13" ht="15" thickBot="1" x14ac:dyDescent="0.4">
      <c r="A220" s="177"/>
      <c r="B220" s="178"/>
      <c r="C220" s="178"/>
      <c r="D220" s="178"/>
      <c r="E220" s="179"/>
      <c r="F220" s="181"/>
      <c r="G220" s="47" t="s">
        <v>52</v>
      </c>
      <c r="H220" s="185">
        <f>H219-(SUM(K109:K134))</f>
        <v>287</v>
      </c>
      <c r="I220" s="186"/>
      <c r="J220" s="186"/>
      <c r="K220" s="187"/>
      <c r="L220" s="3"/>
    </row>
    <row r="221" spans="1:13" x14ac:dyDescent="0.35">
      <c r="A221" s="188"/>
      <c r="B221" s="188"/>
      <c r="C221" s="188"/>
      <c r="D221" s="188"/>
      <c r="E221" s="188"/>
      <c r="F221" s="10"/>
      <c r="H221" s="189"/>
      <c r="I221" s="189"/>
      <c r="J221" s="189"/>
      <c r="K221" s="189"/>
      <c r="L221" s="3"/>
    </row>
    <row r="222" spans="1:13" x14ac:dyDescent="0.35">
      <c r="A222" s="208"/>
      <c r="B222" s="208"/>
      <c r="C222" s="208"/>
      <c r="D222" s="208"/>
      <c r="E222" s="208"/>
      <c r="F222" s="11" t="s">
        <v>8</v>
      </c>
      <c r="G222" s="11" t="s">
        <v>49</v>
      </c>
      <c r="H222" s="209" t="s">
        <v>50</v>
      </c>
      <c r="I222" s="209"/>
      <c r="J222" t="s">
        <v>61</v>
      </c>
      <c r="K222" t="s">
        <v>51</v>
      </c>
      <c r="L222" s="3"/>
    </row>
    <row r="223" spans="1:13" x14ac:dyDescent="0.35">
      <c r="A223" s="205" t="s">
        <v>9</v>
      </c>
      <c r="B223" s="205"/>
      <c r="C223" s="205"/>
      <c r="D223" s="205"/>
      <c r="E223" s="205"/>
      <c r="F223" s="12">
        <f>J56</f>
        <v>1713.9906492157534</v>
      </c>
      <c r="G223" s="12">
        <f>J135</f>
        <v>1757.8899999999999</v>
      </c>
      <c r="H223" s="206">
        <f>J198</f>
        <v>409.95678002576386</v>
      </c>
      <c r="I223" s="206"/>
      <c r="J223" s="49">
        <f>J150</f>
        <v>436.28818840579714</v>
      </c>
      <c r="K223" s="13">
        <f>SUM(F223:J223)</f>
        <v>4318.1256176473144</v>
      </c>
      <c r="L223" s="3"/>
    </row>
    <row r="224" spans="1:13" x14ac:dyDescent="0.35">
      <c r="A224" s="205" t="s">
        <v>58</v>
      </c>
      <c r="B224" s="205"/>
      <c r="C224" s="205"/>
      <c r="D224" s="205"/>
      <c r="E224" s="205"/>
      <c r="F224" s="12">
        <f>J57</f>
        <v>0</v>
      </c>
      <c r="G224" s="12">
        <f>J136</f>
        <v>0</v>
      </c>
      <c r="H224" s="206">
        <f>J199</f>
        <v>0</v>
      </c>
      <c r="I224" s="206"/>
      <c r="J224" s="49">
        <f>J151</f>
        <v>0</v>
      </c>
      <c r="K224" s="13">
        <f>SUM(F224:J224)</f>
        <v>0</v>
      </c>
      <c r="L224" s="3"/>
    </row>
    <row r="225" spans="1:16" x14ac:dyDescent="0.35">
      <c r="A225" s="205" t="s">
        <v>59</v>
      </c>
      <c r="B225" s="205"/>
      <c r="C225" s="205"/>
      <c r="D225" s="205"/>
      <c r="E225" s="205"/>
      <c r="F225" s="12">
        <f>J60</f>
        <v>798.75</v>
      </c>
      <c r="G225" s="12">
        <f>J139</f>
        <v>1739.25</v>
      </c>
      <c r="H225" s="206">
        <f>J202</f>
        <v>348.25</v>
      </c>
      <c r="I225" s="206"/>
      <c r="J225" s="49">
        <f>J154</f>
        <v>599.5</v>
      </c>
      <c r="K225" s="13">
        <f>SUM(F225:J225)</f>
        <v>3485.75</v>
      </c>
      <c r="L225" s="3"/>
    </row>
    <row r="226" spans="1:16" x14ac:dyDescent="0.35">
      <c r="A226" s="205" t="s">
        <v>60</v>
      </c>
      <c r="B226" s="205"/>
      <c r="C226" s="205"/>
      <c r="D226" s="205"/>
      <c r="E226" s="205"/>
      <c r="F226" s="48">
        <f>J58</f>
        <v>0</v>
      </c>
      <c r="G226" s="49">
        <f>J137</f>
        <v>0</v>
      </c>
      <c r="H226" s="207">
        <f>J200</f>
        <v>0</v>
      </c>
      <c r="I226" s="207"/>
      <c r="J226" s="49">
        <f>J152</f>
        <v>0</v>
      </c>
      <c r="K226" s="49">
        <f>SUM(F226:J226)</f>
        <v>0</v>
      </c>
      <c r="L226" s="3"/>
    </row>
    <row r="227" spans="1:16" x14ac:dyDescent="0.35">
      <c r="A227" s="205"/>
      <c r="B227" s="205"/>
      <c r="C227" s="205"/>
      <c r="D227" s="205"/>
      <c r="E227" s="205"/>
      <c r="F227" s="10"/>
      <c r="J227" s="8"/>
      <c r="L227" s="3"/>
    </row>
    <row r="228" spans="1:16" x14ac:dyDescent="0.35">
      <c r="A228" s="205"/>
      <c r="B228" s="205"/>
      <c r="C228" s="205"/>
      <c r="D228" s="205"/>
      <c r="E228" s="205"/>
      <c r="F228" s="10"/>
      <c r="J228" s="8"/>
      <c r="L228" s="3"/>
    </row>
    <row r="229" spans="1:16" x14ac:dyDescent="0.35">
      <c r="A229" s="208"/>
      <c r="B229" s="208"/>
      <c r="C229" s="208"/>
      <c r="D229" s="208"/>
      <c r="E229" s="208"/>
      <c r="F229" s="7"/>
      <c r="J229" s="8"/>
      <c r="L229" s="3"/>
    </row>
    <row r="230" spans="1:16" x14ac:dyDescent="0.35">
      <c r="A230" s="205"/>
      <c r="B230" s="205"/>
      <c r="C230" s="205"/>
      <c r="D230" s="205"/>
      <c r="E230" s="205"/>
      <c r="F230" s="10"/>
      <c r="J230" s="8"/>
      <c r="L230" s="2"/>
    </row>
    <row r="231" spans="1:16" x14ac:dyDescent="0.35">
      <c r="A231" s="205"/>
      <c r="B231" s="205"/>
      <c r="C231" s="205"/>
      <c r="D231" s="205"/>
      <c r="E231" s="205"/>
      <c r="F231" s="10"/>
      <c r="J231" s="8"/>
      <c r="L231" s="2"/>
    </row>
    <row r="232" spans="1:16" x14ac:dyDescent="0.35">
      <c r="A232" s="205"/>
      <c r="B232" s="205"/>
      <c r="C232" s="205"/>
      <c r="D232" s="205"/>
      <c r="E232" s="205"/>
      <c r="F232" s="10"/>
      <c r="J232" s="8"/>
      <c r="L232" s="2"/>
      <c r="M232" s="3"/>
      <c r="N232" s="4"/>
      <c r="O232" s="4"/>
      <c r="P232" s="4"/>
    </row>
    <row r="233" spans="1:16" x14ac:dyDescent="0.35">
      <c r="A233" s="205"/>
      <c r="B233" s="205"/>
      <c r="C233" s="205"/>
      <c r="D233" s="205"/>
      <c r="E233" s="205"/>
      <c r="F233" s="10"/>
      <c r="J233" s="8"/>
      <c r="L233" s="2"/>
    </row>
    <row r="234" spans="1:16" x14ac:dyDescent="0.35">
      <c r="A234" s="205"/>
      <c r="B234" s="205"/>
      <c r="C234" s="205"/>
      <c r="D234" s="205"/>
      <c r="E234" s="205"/>
      <c r="F234" s="10"/>
      <c r="J234" s="8"/>
      <c r="L234" s="2"/>
      <c r="M234" s="3"/>
      <c r="N234" s="4"/>
      <c r="O234" s="4"/>
      <c r="P234" s="4"/>
    </row>
    <row r="235" spans="1:16" x14ac:dyDescent="0.35">
      <c r="A235" s="205"/>
      <c r="B235" s="205"/>
      <c r="C235" s="205"/>
      <c r="D235" s="205"/>
      <c r="E235" s="205"/>
      <c r="F235" s="10"/>
      <c r="J235" s="8"/>
      <c r="L235" s="2"/>
      <c r="M235" s="3"/>
      <c r="N235" s="4"/>
      <c r="O235" s="4"/>
      <c r="P235" s="4"/>
    </row>
    <row r="236" spans="1:16" x14ac:dyDescent="0.35">
      <c r="A236" s="208"/>
      <c r="B236" s="208"/>
      <c r="C236" s="208"/>
      <c r="D236" s="208"/>
      <c r="E236" s="208"/>
      <c r="F236" s="7"/>
      <c r="J236" s="8"/>
      <c r="L236" s="2"/>
      <c r="M236" s="3"/>
      <c r="N236" s="4"/>
      <c r="O236" s="4"/>
      <c r="P236" s="4"/>
    </row>
    <row r="237" spans="1:16" x14ac:dyDescent="0.35">
      <c r="A237" s="208"/>
      <c r="B237" s="208"/>
      <c r="C237" s="208"/>
      <c r="D237" s="208"/>
      <c r="E237" s="208"/>
      <c r="F237" s="7"/>
      <c r="J237" s="8"/>
      <c r="L237" s="2"/>
      <c r="M237" s="3"/>
      <c r="N237" s="4"/>
      <c r="O237" s="4"/>
      <c r="P237" s="4"/>
    </row>
    <row r="238" spans="1:16" x14ac:dyDescent="0.35">
      <c r="A238" s="6"/>
      <c r="B238" s="6"/>
      <c r="C238" s="6"/>
      <c r="D238" s="6"/>
      <c r="E238" s="6"/>
      <c r="F238" s="6"/>
      <c r="J238" s="8"/>
      <c r="L238" s="2"/>
      <c r="M238" s="3"/>
      <c r="N238" s="2"/>
      <c r="O238" s="4"/>
      <c r="P238" s="4"/>
    </row>
    <row r="239" spans="1:16" x14ac:dyDescent="0.35">
      <c r="A239" s="6"/>
      <c r="B239" s="6"/>
      <c r="C239" s="6"/>
      <c r="D239" s="6"/>
      <c r="E239" s="6"/>
      <c r="F239" s="6"/>
      <c r="J239" s="8"/>
      <c r="L239" s="4"/>
      <c r="M239" s="3"/>
      <c r="N239" s="2"/>
      <c r="O239" s="4"/>
      <c r="P239" s="4"/>
    </row>
    <row r="240" spans="1:16" x14ac:dyDescent="0.35">
      <c r="A240" s="6"/>
      <c r="B240" s="6"/>
      <c r="C240" s="6"/>
      <c r="D240" s="6"/>
      <c r="E240" s="6"/>
      <c r="F240" s="6"/>
      <c r="G240" s="9"/>
      <c r="H240" s="9"/>
      <c r="I240" s="9"/>
      <c r="J240" s="9"/>
      <c r="K240" s="9"/>
      <c r="L240" s="2"/>
      <c r="M240" s="3"/>
      <c r="N240" s="4"/>
      <c r="O240" s="4"/>
      <c r="P240" s="4"/>
    </row>
    <row r="241" spans="1:16" x14ac:dyDescent="0.35">
      <c r="A241" s="6"/>
      <c r="B241" s="6"/>
      <c r="C241" s="6"/>
      <c r="D241" s="6"/>
      <c r="E241" s="6"/>
      <c r="F241" s="6"/>
      <c r="G241" s="9"/>
      <c r="H241" s="9"/>
      <c r="I241" s="9"/>
      <c r="J241" s="9"/>
      <c r="K241" s="9"/>
      <c r="L241" s="2"/>
      <c r="M241" s="3"/>
      <c r="N241" s="2"/>
      <c r="O241" s="4"/>
      <c r="P241" s="4"/>
    </row>
    <row r="242" spans="1:16" x14ac:dyDescent="0.35">
      <c r="A242" s="6"/>
      <c r="B242" s="6"/>
      <c r="C242" s="6"/>
      <c r="D242" s="6"/>
      <c r="E242" s="6"/>
      <c r="F242" s="7"/>
      <c r="G242" s="6"/>
      <c r="H242" s="6"/>
      <c r="I242" s="6"/>
      <c r="J242" s="6"/>
      <c r="K242" s="7"/>
      <c r="L242" s="2"/>
      <c r="M242" s="3"/>
      <c r="N242" s="2"/>
      <c r="O242" s="4"/>
      <c r="P242" s="4"/>
    </row>
    <row r="243" spans="1:16" x14ac:dyDescent="0.35">
      <c r="F243" s="8"/>
      <c r="G243" s="8"/>
      <c r="H243" s="8"/>
      <c r="I243" s="8"/>
      <c r="J243" s="8"/>
      <c r="L243" s="2"/>
      <c r="M243" s="3"/>
      <c r="N243" s="2"/>
      <c r="O243" s="4"/>
      <c r="P243" s="4"/>
    </row>
    <row r="244" spans="1:16" x14ac:dyDescent="0.35">
      <c r="F244" s="8"/>
      <c r="G244" s="8"/>
      <c r="H244" s="8"/>
      <c r="I244" s="8"/>
      <c r="J244" s="8"/>
      <c r="L244" s="2"/>
      <c r="M244" s="3"/>
      <c r="N244" s="2"/>
      <c r="O244" s="4"/>
      <c r="P244" s="4"/>
    </row>
    <row r="245" spans="1:16" x14ac:dyDescent="0.35">
      <c r="F245" s="8"/>
      <c r="G245" s="8"/>
      <c r="H245" s="8"/>
      <c r="I245" s="8"/>
      <c r="J245" s="8"/>
      <c r="L245" s="4"/>
      <c r="M245" s="3"/>
      <c r="N245" s="4"/>
      <c r="O245" s="4"/>
      <c r="P245" s="4"/>
    </row>
    <row r="246" spans="1:16" x14ac:dyDescent="0.35">
      <c r="F246" s="8"/>
      <c r="G246" s="8"/>
      <c r="H246" s="8"/>
      <c r="I246" s="8"/>
      <c r="J246" s="8"/>
      <c r="L246" s="2"/>
      <c r="M246" s="3"/>
      <c r="N246" s="2"/>
      <c r="O246" s="4"/>
      <c r="P246" s="4"/>
    </row>
    <row r="247" spans="1:16" x14ac:dyDescent="0.35">
      <c r="F247" s="8"/>
      <c r="G247" s="8"/>
      <c r="H247" s="8"/>
      <c r="I247" s="8"/>
      <c r="J247" s="8"/>
      <c r="L247" s="2"/>
      <c r="M247" s="3"/>
      <c r="N247" s="2"/>
      <c r="O247" s="4"/>
      <c r="P247" s="4"/>
    </row>
    <row r="248" spans="1:16" x14ac:dyDescent="0.35">
      <c r="F248" s="8"/>
      <c r="G248" s="8"/>
      <c r="H248" s="8"/>
      <c r="I248" s="8"/>
      <c r="J248" s="8"/>
      <c r="L248" s="2"/>
      <c r="M248" s="3"/>
      <c r="N248" s="2"/>
      <c r="O248" s="4"/>
      <c r="P248" s="4"/>
    </row>
    <row r="249" spans="1:16" x14ac:dyDescent="0.35">
      <c r="F249" s="8"/>
      <c r="G249" s="8"/>
      <c r="H249" s="8"/>
      <c r="I249" s="8"/>
      <c r="J249" s="8"/>
      <c r="L249" s="2"/>
      <c r="M249" s="3"/>
      <c r="N249" s="2"/>
      <c r="O249" s="4"/>
      <c r="P249" s="4"/>
    </row>
    <row r="250" spans="1:16" x14ac:dyDescent="0.35">
      <c r="F250" s="8"/>
      <c r="G250" s="8"/>
      <c r="H250" s="8"/>
      <c r="I250" s="8"/>
      <c r="J250" s="8"/>
      <c r="L250" s="2"/>
      <c r="M250" s="3"/>
      <c r="N250" s="2"/>
      <c r="O250" s="4"/>
      <c r="P250" s="4"/>
    </row>
    <row r="251" spans="1:16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L251" s="2"/>
      <c r="M251" s="3"/>
      <c r="N251" s="2"/>
      <c r="O251" s="4"/>
      <c r="P251" s="4"/>
    </row>
    <row r="252" spans="1:16" x14ac:dyDescent="0.35">
      <c r="L252" s="2"/>
      <c r="M252" s="3"/>
      <c r="N252" s="2"/>
      <c r="O252" s="4"/>
      <c r="P252" s="4"/>
    </row>
    <row r="253" spans="1:16" x14ac:dyDescent="0.35">
      <c r="L253" s="2"/>
      <c r="M253" s="3"/>
      <c r="N253" s="2"/>
      <c r="O253" s="4"/>
      <c r="P253" s="4"/>
    </row>
    <row r="254" spans="1:16" x14ac:dyDescent="0.35">
      <c r="L254" s="2"/>
      <c r="M254" s="3"/>
      <c r="N254" s="2"/>
      <c r="O254" s="4"/>
      <c r="P254" s="5"/>
    </row>
  </sheetData>
  <sheetProtection selectLockedCells="1" selectUnlockedCells="1"/>
  <mergeCells count="185">
    <mergeCell ref="A235:E235"/>
    <mergeCell ref="A236:E236"/>
    <mergeCell ref="A237:E237"/>
    <mergeCell ref="A229:E229"/>
    <mergeCell ref="A230:E230"/>
    <mergeCell ref="A231:E231"/>
    <mergeCell ref="A232:E232"/>
    <mergeCell ref="A233:E233"/>
    <mergeCell ref="A234:E234"/>
    <mergeCell ref="A225:E225"/>
    <mergeCell ref="H225:I225"/>
    <mergeCell ref="A226:E226"/>
    <mergeCell ref="H226:I226"/>
    <mergeCell ref="A227:E227"/>
    <mergeCell ref="A228:E228"/>
    <mergeCell ref="A222:E222"/>
    <mergeCell ref="H222:I222"/>
    <mergeCell ref="A223:E223"/>
    <mergeCell ref="H223:I223"/>
    <mergeCell ref="A224:E224"/>
    <mergeCell ref="H224:I224"/>
    <mergeCell ref="A219:E220"/>
    <mergeCell ref="F219:F220"/>
    <mergeCell ref="H219:K219"/>
    <mergeCell ref="H220:K220"/>
    <mergeCell ref="A221:E221"/>
    <mergeCell ref="H221:K221"/>
    <mergeCell ref="A214:K214"/>
    <mergeCell ref="A215:E215"/>
    <mergeCell ref="A216:E216"/>
    <mergeCell ref="A217:E217"/>
    <mergeCell ref="H217:K217"/>
    <mergeCell ref="A218:E218"/>
    <mergeCell ref="G218:K218"/>
    <mergeCell ref="A211:I211"/>
    <mergeCell ref="J211:K211"/>
    <mergeCell ref="A212:I212"/>
    <mergeCell ref="J212:K212"/>
    <mergeCell ref="A213:I213"/>
    <mergeCell ref="J213:K213"/>
    <mergeCell ref="A208:I208"/>
    <mergeCell ref="J208:K208"/>
    <mergeCell ref="A209:I209"/>
    <mergeCell ref="J209:K209"/>
    <mergeCell ref="A210:I210"/>
    <mergeCell ref="J210:K210"/>
    <mergeCell ref="A205:I205"/>
    <mergeCell ref="J205:K205"/>
    <mergeCell ref="A206:I206"/>
    <mergeCell ref="J206:K206"/>
    <mergeCell ref="A207:I207"/>
    <mergeCell ref="J207:K207"/>
    <mergeCell ref="A202:I202"/>
    <mergeCell ref="J202:K202"/>
    <mergeCell ref="A203:I203"/>
    <mergeCell ref="J203:K203"/>
    <mergeCell ref="A204:I204"/>
    <mergeCell ref="J204:K204"/>
    <mergeCell ref="A199:I199"/>
    <mergeCell ref="J199:K199"/>
    <mergeCell ref="A200:I200"/>
    <mergeCell ref="J200:K200"/>
    <mergeCell ref="A201:I201"/>
    <mergeCell ref="J201:K201"/>
    <mergeCell ref="J158:J159"/>
    <mergeCell ref="K158:K159"/>
    <mergeCell ref="A160:K160"/>
    <mergeCell ref="A180:K180"/>
    <mergeCell ref="A198:I198"/>
    <mergeCell ref="J198:K198"/>
    <mergeCell ref="A156:I156"/>
    <mergeCell ref="J156:K156"/>
    <mergeCell ref="A157:I157"/>
    <mergeCell ref="J157:K157"/>
    <mergeCell ref="A158:A159"/>
    <mergeCell ref="B158:E158"/>
    <mergeCell ref="F158:F159"/>
    <mergeCell ref="G158:G159"/>
    <mergeCell ref="H158:H159"/>
    <mergeCell ref="I158:I159"/>
    <mergeCell ref="A153:I153"/>
    <mergeCell ref="J153:K153"/>
    <mergeCell ref="A154:I154"/>
    <mergeCell ref="J154:K154"/>
    <mergeCell ref="A155:I155"/>
    <mergeCell ref="J155:K155"/>
    <mergeCell ref="A145:K145"/>
    <mergeCell ref="A150:I150"/>
    <mergeCell ref="J150:K150"/>
    <mergeCell ref="A151:I151"/>
    <mergeCell ref="J151:K151"/>
    <mergeCell ref="A152:I152"/>
    <mergeCell ref="J152:K152"/>
    <mergeCell ref="A142:I142"/>
    <mergeCell ref="J142:K142"/>
    <mergeCell ref="A143:A144"/>
    <mergeCell ref="B143:E143"/>
    <mergeCell ref="F143:F144"/>
    <mergeCell ref="G143:G144"/>
    <mergeCell ref="H143:H144"/>
    <mergeCell ref="I143:I144"/>
    <mergeCell ref="J143:J144"/>
    <mergeCell ref="K143:K144"/>
    <mergeCell ref="A139:I139"/>
    <mergeCell ref="J139:K139"/>
    <mergeCell ref="A140:I140"/>
    <mergeCell ref="J140:K140"/>
    <mergeCell ref="A141:I141"/>
    <mergeCell ref="J141:K141"/>
    <mergeCell ref="A136:I136"/>
    <mergeCell ref="J136:K136"/>
    <mergeCell ref="A137:I137"/>
    <mergeCell ref="J137:K137"/>
    <mergeCell ref="A138:I138"/>
    <mergeCell ref="J138:K138"/>
    <mergeCell ref="J106:J107"/>
    <mergeCell ref="K106:K107"/>
    <mergeCell ref="A108:K108"/>
    <mergeCell ref="A125:K125"/>
    <mergeCell ref="A135:I135"/>
    <mergeCell ref="J135:K135"/>
    <mergeCell ref="A106:A107"/>
    <mergeCell ref="B106:E106"/>
    <mergeCell ref="F106:F107"/>
    <mergeCell ref="G106:G107"/>
    <mergeCell ref="H106:H107"/>
    <mergeCell ref="I106:I107"/>
    <mergeCell ref="A102:I102"/>
    <mergeCell ref="J102:K102"/>
    <mergeCell ref="A103:I103"/>
    <mergeCell ref="J103:K103"/>
    <mergeCell ref="A104:I104"/>
    <mergeCell ref="J104:K104"/>
    <mergeCell ref="A99:I99"/>
    <mergeCell ref="J99:K99"/>
    <mergeCell ref="A100:I100"/>
    <mergeCell ref="J100:K100"/>
    <mergeCell ref="A101:I101"/>
    <mergeCell ref="J101:K101"/>
    <mergeCell ref="J64:J65"/>
    <mergeCell ref="K64:K65"/>
    <mergeCell ref="A66:K66"/>
    <mergeCell ref="A97:I97"/>
    <mergeCell ref="J97:K97"/>
    <mergeCell ref="A98:I98"/>
    <mergeCell ref="J98:K98"/>
    <mergeCell ref="A64:A65"/>
    <mergeCell ref="B64:E64"/>
    <mergeCell ref="F64:F65"/>
    <mergeCell ref="G64:G65"/>
    <mergeCell ref="H64:H65"/>
    <mergeCell ref="I64:I65"/>
    <mergeCell ref="A61:I61"/>
    <mergeCell ref="J61:K61"/>
    <mergeCell ref="A62:I62"/>
    <mergeCell ref="J62:K62"/>
    <mergeCell ref="A63:I63"/>
    <mergeCell ref="J63:K63"/>
    <mergeCell ref="A58:I58"/>
    <mergeCell ref="J58:K58"/>
    <mergeCell ref="A59:I59"/>
    <mergeCell ref="J59:K59"/>
    <mergeCell ref="A60:I60"/>
    <mergeCell ref="J60:K60"/>
    <mergeCell ref="A38:K38"/>
    <mergeCell ref="A44:K44"/>
    <mergeCell ref="A56:I56"/>
    <mergeCell ref="J56:K56"/>
    <mergeCell ref="A57:I57"/>
    <mergeCell ref="J57:K57"/>
    <mergeCell ref="A4:K4"/>
    <mergeCell ref="A9:K9"/>
    <mergeCell ref="A14:K14"/>
    <mergeCell ref="A22:K22"/>
    <mergeCell ref="A25:K25"/>
    <mergeCell ref="A31:K31"/>
    <mergeCell ref="A1:K1"/>
    <mergeCell ref="A2:A3"/>
    <mergeCell ref="B2:E2"/>
    <mergeCell ref="F2:F3"/>
    <mergeCell ref="G2:G3"/>
    <mergeCell ref="H2:H3"/>
    <mergeCell ref="I2:I3"/>
    <mergeCell ref="J2:J3"/>
    <mergeCell ref="K2:K3"/>
  </mergeCells>
  <conditionalFormatting sqref="L229:L236 M232:O232 M234:O236 P254">
    <cfRule type="cellIs" dxfId="2" priority="1" stopIfTrue="1" operator="lessThan">
      <formula>0</formula>
    </cfRule>
  </conditionalFormatting>
  <pageMargins left="0.28000000000000003" right="0.09" top="0.26" bottom="0.25" header="0.25" footer="0.25"/>
  <pageSetup orientation="portrait" blackAndWhite="1" r:id="rId1"/>
  <rowBreaks count="2" manualBreakCount="2">
    <brk id="105" max="10" man="1"/>
    <brk id="1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March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Master 2023</vt:lpstr>
      <vt:lpstr>'August 2023'!Print_Area</vt:lpstr>
      <vt:lpstr>'December 2023'!Print_Area</vt:lpstr>
      <vt:lpstr>'July 2023'!Print_Area</vt:lpstr>
      <vt:lpstr>'JUNE 2023'!Print_Area</vt:lpstr>
      <vt:lpstr>'March 2023'!Print_Area</vt:lpstr>
      <vt:lpstr>'Master 2023'!Print_Area</vt:lpstr>
      <vt:lpstr>'November 2023'!Print_Area</vt:lpstr>
      <vt:lpstr>'October 2023'!Print_Area</vt:lpstr>
      <vt:lpstr>'September 2023'!Print_Area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Denny's and Bar One</cp:lastModifiedBy>
  <cp:lastPrinted>2023-11-01T04:41:48Z</cp:lastPrinted>
  <dcterms:created xsi:type="dcterms:W3CDTF">2012-06-18T18:27:32Z</dcterms:created>
  <dcterms:modified xsi:type="dcterms:W3CDTF">2024-02-16T00:13:58Z</dcterms:modified>
</cp:coreProperties>
</file>