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215" activeTab="6"/>
  </bookViews>
  <sheets>
    <sheet name="TS" sheetId="1" r:id="rId1"/>
    <sheet name="IS" sheetId="2" r:id="rId2"/>
    <sheet name="BS" sheetId="3" r:id="rId3"/>
    <sheet name="CF" sheetId="4" r:id="rId4"/>
    <sheet name="DS" sheetId="5" r:id="rId5"/>
    <sheet name="RA" sheetId="6" r:id="rId6"/>
    <sheet name="A1" sheetId="7" r:id="rId7"/>
    <sheet name="A2" sheetId="8" r:id="rId8"/>
    <sheet name="A3" sheetId="9" r:id="rId9"/>
    <sheet name="Profitability" sheetId="11" r:id="rId10"/>
    <sheet name="Questions" sheetId="12" r:id="rId11"/>
  </sheets>
  <definedNames>
    <definedName name="solver_adj" localSheetId="8" hidden="1">'A3'!$D$14</definedName>
    <definedName name="solver_cvg" localSheetId="8" hidden="1">0.0001</definedName>
    <definedName name="solver_drv" localSheetId="8" hidden="1">1</definedName>
    <definedName name="solver_eng" localSheetId="8" hidden="1">1</definedName>
    <definedName name="solver_itr" localSheetId="8" hidden="1">2147483647</definedName>
    <definedName name="solver_lin" localSheetId="8" hidden="1">2</definedName>
    <definedName name="solver_mip" localSheetId="8" hidden="1">2147483647</definedName>
    <definedName name="solver_mni" localSheetId="8" hidden="1">30</definedName>
    <definedName name="solver_mrt" localSheetId="8" hidden="1">0.075</definedName>
    <definedName name="solver_msl" localSheetId="8" hidden="1">2</definedName>
    <definedName name="solver_neg" localSheetId="8" hidden="1">1</definedName>
    <definedName name="solver_nod" localSheetId="8" hidden="1">2147483647</definedName>
    <definedName name="solver_num" localSheetId="8" hidden="1">0</definedName>
    <definedName name="solver_pre" localSheetId="8" hidden="1">0.000001</definedName>
    <definedName name="solver_rbv" localSheetId="8" hidden="1">1</definedName>
    <definedName name="solver_rlx" localSheetId="8" hidden="1">2</definedName>
    <definedName name="solver_rsd" localSheetId="8" hidden="1">0</definedName>
    <definedName name="solver_scl" localSheetId="8" hidden="1">1</definedName>
    <definedName name="solver_sho" localSheetId="8" hidden="1">2</definedName>
    <definedName name="solver_ssz" localSheetId="8" hidden="1">100</definedName>
    <definedName name="solver_tim" localSheetId="8" hidden="1">2147483647</definedName>
    <definedName name="solver_tol" localSheetId="8" hidden="1">0.01</definedName>
    <definedName name="solver_typ" localSheetId="8" hidden="1">3</definedName>
    <definedName name="solver_val" localSheetId="8" hidden="1">2</definedName>
    <definedName name="solver_ver" localSheetId="8" hidden="1">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<sst xmlns="http://schemas.openxmlformats.org/spreadsheetml/2006/main" count="509" uniqueCount="314">
  <si>
    <t>Target_Co</t>
  </si>
  <si>
    <t>Leveraged Buyout Analysis</t>
  </si>
  <si>
    <t>($ in millions, fiscal year ending April 30)</t>
  </si>
  <si>
    <t>Transaction Summary</t>
  </si>
  <si>
    <t>Sources of Funds</t>
  </si>
  <si>
    <t>Uses of Funds</t>
  </si>
  <si>
    <t>Purchase Price</t>
  </si>
  <si>
    <t>Return Analysis</t>
  </si>
  <si>
    <t>% of Total</t>
  </si>
  <si>
    <t>Multiple of EBITDA</t>
  </si>
  <si>
    <t>Offer Price per Share</t>
  </si>
  <si>
    <t>Exit Year</t>
  </si>
  <si>
    <t>Amount</t>
  </si>
  <si>
    <t>Sources</t>
  </si>
  <si>
    <t>Cumulative</t>
  </si>
  <si>
    <t>Pricing</t>
  </si>
  <si>
    <t>Uses</t>
  </si>
  <si>
    <t>Fully Diluted Shares</t>
  </si>
  <si>
    <t>Entry Multiple</t>
  </si>
  <si>
    <t>Revolving Credit Facility</t>
  </si>
  <si>
    <t>Purchase ValueCo Equity</t>
  </si>
  <si>
    <t xml:space="preserve">   Equity Purchase Price</t>
  </si>
  <si>
    <t>Exit Multiple</t>
  </si>
  <si>
    <t>Term Loan A</t>
  </si>
  <si>
    <t>Repay Existing Debt</t>
  </si>
  <si>
    <t>Plus: Existing Net Debt</t>
  </si>
  <si>
    <t xml:space="preserve">   IRR</t>
  </si>
  <si>
    <t>Term Loan B</t>
  </si>
  <si>
    <t>Tender / Call Premiums</t>
  </si>
  <si>
    <t xml:space="preserve">   Enterprise Value</t>
  </si>
  <si>
    <t xml:space="preserve">   Cash Return</t>
  </si>
  <si>
    <t>Term Loan C</t>
  </si>
  <si>
    <t xml:space="preserve">Financing Fees </t>
  </si>
  <si>
    <t>2nd Lien</t>
  </si>
  <si>
    <t>Other Fees and Expenses</t>
  </si>
  <si>
    <t>Transaction Multiples</t>
  </si>
  <si>
    <t>Options</t>
  </si>
  <si>
    <t>Senior Notes</t>
  </si>
  <si>
    <t>Enterprise Value / Sales</t>
  </si>
  <si>
    <t>Financing Structure</t>
  </si>
  <si>
    <t>Senior Subordinated Notes</t>
  </si>
  <si>
    <t>Operating Scenario</t>
  </si>
  <si>
    <t>Equity Contribution</t>
  </si>
  <si>
    <t>Cash Flow Sweep</t>
  </si>
  <si>
    <t>Rollover Equity</t>
  </si>
  <si>
    <t>Enterprise Value / EBITDA</t>
  </si>
  <si>
    <t>Cash Balance</t>
  </si>
  <si>
    <t>Cash on Hand</t>
  </si>
  <si>
    <t xml:space="preserve"> </t>
  </si>
  <si>
    <t xml:space="preserve">Average Interest </t>
  </si>
  <si>
    <t xml:space="preserve">   Total Sources</t>
  </si>
  <si>
    <t xml:space="preserve">   Total Uses</t>
  </si>
  <si>
    <t>Financing Fees</t>
  </si>
  <si>
    <t>Summary Financial Data</t>
  </si>
  <si>
    <t>Historical Period</t>
  </si>
  <si>
    <t>Projection Period</t>
  </si>
  <si>
    <t>LTM</t>
  </si>
  <si>
    <t>Pro forma</t>
  </si>
  <si>
    <t>30/6/23</t>
  </si>
  <si>
    <t>Sales</t>
  </si>
  <si>
    <t xml:space="preserve">   % growth</t>
  </si>
  <si>
    <t>Gross Profit</t>
  </si>
  <si>
    <t xml:space="preserve">   % margin</t>
  </si>
  <si>
    <t>EBITDA</t>
  </si>
  <si>
    <t>Capital Expenditures</t>
  </si>
  <si>
    <t xml:space="preserve">   % sales</t>
  </si>
  <si>
    <t>Cash Interest Expense</t>
  </si>
  <si>
    <t>Total Interest Expense</t>
  </si>
  <si>
    <t>Free Cash Flow</t>
  </si>
  <si>
    <t>Less: Cash Interest Expense</t>
  </si>
  <si>
    <t>Plus: Interest Income</t>
  </si>
  <si>
    <t>Less: Income Taxes</t>
  </si>
  <si>
    <t>Less: Capital Expenditures</t>
  </si>
  <si>
    <t>Less: Increase in Net Working Capital</t>
  </si>
  <si>
    <t xml:space="preserve">   Free Cash Flow</t>
  </si>
  <si>
    <t xml:space="preserve">   Cumulative Free Cash Flow</t>
  </si>
  <si>
    <t xml:space="preserve">Capitalization </t>
  </si>
  <si>
    <t>Cash</t>
  </si>
  <si>
    <t>Existing Term Loan</t>
  </si>
  <si>
    <t>Other Debt</t>
  </si>
  <si>
    <t xml:space="preserve">   Total Senior Secured Debt</t>
  </si>
  <si>
    <t xml:space="preserve">   Total Senior Debt</t>
  </si>
  <si>
    <t xml:space="preserve">   Total Debt</t>
  </si>
  <si>
    <t>Shareholders' Equity</t>
  </si>
  <si>
    <t xml:space="preserve">   Total Capitalization</t>
  </si>
  <si>
    <t xml:space="preserve">   % of Bank Debt Repaid</t>
  </si>
  <si>
    <t>Credit Statistics</t>
  </si>
  <si>
    <t>% Debt / Total Capitalization</t>
  </si>
  <si>
    <t>EBITDA / Cash Interest Expense</t>
  </si>
  <si>
    <t>(EBITDA - Capex) / Cash Interest Expense</t>
  </si>
  <si>
    <t xml:space="preserve">EBITDA / Total Interest Expense </t>
  </si>
  <si>
    <t>(EBITDA - Capex) / Total Interest Expense</t>
  </si>
  <si>
    <t>Senior Secured Debt / EBITDA</t>
  </si>
  <si>
    <t>Senior Debt / EBITDA</t>
  </si>
  <si>
    <t>Total Debt / EBITDA</t>
  </si>
  <si>
    <t>Net Debt / EBITDA</t>
  </si>
  <si>
    <t>Income Statement</t>
  </si>
  <si>
    <t>NA</t>
  </si>
  <si>
    <t xml:space="preserve">Cost of Goods Sold </t>
  </si>
  <si>
    <t xml:space="preserve">Selling, General &amp; Administrative </t>
  </si>
  <si>
    <t>Other Expense / (Income)</t>
  </si>
  <si>
    <t xml:space="preserve">Depreciation </t>
  </si>
  <si>
    <t>Amortization</t>
  </si>
  <si>
    <t>EBIT</t>
  </si>
  <si>
    <t>Interest Expense</t>
  </si>
  <si>
    <t xml:space="preserve">2nd Lien </t>
  </si>
  <si>
    <t>Commitment Fee on Unused Revolver</t>
  </si>
  <si>
    <t>Administrative Agent Fee</t>
  </si>
  <si>
    <t xml:space="preserve">   Cash Interest Expense</t>
  </si>
  <si>
    <t>Amortization of Deferred Financing Fees</t>
  </si>
  <si>
    <t xml:space="preserve">   Total Interest Expense</t>
  </si>
  <si>
    <t>Interest Income</t>
  </si>
  <si>
    <t xml:space="preserve">   Net Interest Expense</t>
  </si>
  <si>
    <t>Earnings Before Taxes</t>
  </si>
  <si>
    <t>Income Tax Expense</t>
  </si>
  <si>
    <t xml:space="preserve">   Net Income</t>
  </si>
  <si>
    <t>Income Statement Assumptions</t>
  </si>
  <si>
    <t>Sales (% YoY growth)</t>
  </si>
  <si>
    <t>Cost of Goods Sold (% margin)</t>
  </si>
  <si>
    <t>SG&amp;A (% sales)</t>
  </si>
  <si>
    <t>Other Expense / (Income) (% of sales)</t>
  </si>
  <si>
    <t>Depreciation (% of sales)</t>
  </si>
  <si>
    <t>Amortization (% of sales)</t>
  </si>
  <si>
    <t>Tax Rate</t>
  </si>
  <si>
    <t>Balance Sheet</t>
  </si>
  <si>
    <t>Opening</t>
  </si>
  <si>
    <t>Adjustments</t>
  </si>
  <si>
    <t>Pro Forma</t>
  </si>
  <si>
    <t>+</t>
  </si>
  <si>
    <t>-</t>
  </si>
  <si>
    <t>Cash and Cash Equivalents</t>
  </si>
  <si>
    <t>Accounts Receivable</t>
  </si>
  <si>
    <t>Inventories</t>
  </si>
  <si>
    <t>Prepaids and Other Current Assets</t>
  </si>
  <si>
    <t xml:space="preserve">   Total Current Assets</t>
  </si>
  <si>
    <t>Property, Plant and Equipment, net</t>
  </si>
  <si>
    <t xml:space="preserve">Goodwill </t>
  </si>
  <si>
    <t>Intangible Assets</t>
  </si>
  <si>
    <t>Other Assets</t>
  </si>
  <si>
    <t>Deferred Financing Fees</t>
  </si>
  <si>
    <t xml:space="preserve">   Total Assets</t>
  </si>
  <si>
    <t>Accounts Payable</t>
  </si>
  <si>
    <t>Accrued Liabilities</t>
  </si>
  <si>
    <t>Other Current Liabilities</t>
  </si>
  <si>
    <t xml:space="preserve">   Total Current Liabilities</t>
  </si>
  <si>
    <t>Existing Senior Notes</t>
  </si>
  <si>
    <t>Deferred Income Taxes</t>
  </si>
  <si>
    <t>Other Long-Term Liabilities</t>
  </si>
  <si>
    <t xml:space="preserve">   Total Liabilities </t>
  </si>
  <si>
    <t>Noncontrolling Interest</t>
  </si>
  <si>
    <t xml:space="preserve">   Total Shareholders' Equity</t>
  </si>
  <si>
    <t xml:space="preserve">   Total Liabilities and Equity</t>
  </si>
  <si>
    <t>Balance Check</t>
  </si>
  <si>
    <t>Net Working Capital</t>
  </si>
  <si>
    <t>(Increase) / Decrease in Net Working Capital</t>
  </si>
  <si>
    <t>Balance Sheet Assumptions</t>
  </si>
  <si>
    <t>Current Assets</t>
  </si>
  <si>
    <t>Days Sales Outstanding (DSO)</t>
  </si>
  <si>
    <t>Days Inventory Held (DIH)</t>
  </si>
  <si>
    <t>Prepaid and Other Current Assets (% of sales)</t>
  </si>
  <si>
    <t>Current Liabilities</t>
  </si>
  <si>
    <t>Days Payable Outstanding (DPO)</t>
  </si>
  <si>
    <t>Accrued Liabilities (% of sales)</t>
  </si>
  <si>
    <t>Other Current Liabilities (% of sales)</t>
  </si>
  <si>
    <t>Cash Flow Statement</t>
  </si>
  <si>
    <t>Operating Activities</t>
  </si>
  <si>
    <t xml:space="preserve">   Plus: Depreciation</t>
  </si>
  <si>
    <t xml:space="preserve">   Plus: Amortization</t>
  </si>
  <si>
    <t xml:space="preserve">   Plus: Amortization of Financing Fees</t>
  </si>
  <si>
    <t xml:space="preserve">   Changes in Working Capital Items</t>
  </si>
  <si>
    <t xml:space="preserve">      (Inc.) / Dec. in Accounts Receivable</t>
  </si>
  <si>
    <t xml:space="preserve">      (Inc.) / Dec. in Inventories</t>
  </si>
  <si>
    <t xml:space="preserve">      (Inc.) / Dec. in Prepaid and Other Current Assets</t>
  </si>
  <si>
    <t xml:space="preserve">      Inc. / (Dec.) in Accounts Payable</t>
  </si>
  <si>
    <t xml:space="preserve">      Inc. / (Dec.) in Accrued Liabilities</t>
  </si>
  <si>
    <t xml:space="preserve">      Inc. / (Dec.) in Other Current Liabilities</t>
  </si>
  <si>
    <t xml:space="preserve">      (Inc.) / Dec. in Net Working Capital</t>
  </si>
  <si>
    <t xml:space="preserve">      Cash Flow from Operating Activities</t>
  </si>
  <si>
    <t>Investing Activities</t>
  </si>
  <si>
    <t xml:space="preserve">   Capital Expenditures</t>
  </si>
  <si>
    <t xml:space="preserve">   Other Investing Activities</t>
  </si>
  <si>
    <t xml:space="preserve">      Cash Flow from Investing Activities</t>
  </si>
  <si>
    <t>Financing Activities</t>
  </si>
  <si>
    <t xml:space="preserve">   Revolving Credit Facility</t>
  </si>
  <si>
    <t xml:space="preserve">   Term Loan A</t>
  </si>
  <si>
    <t xml:space="preserve">   Term Loan B </t>
  </si>
  <si>
    <t xml:space="preserve">   Term Loan C</t>
  </si>
  <si>
    <t xml:space="preserve">   Existing Term Loan</t>
  </si>
  <si>
    <t xml:space="preserve">   2nd Lien</t>
  </si>
  <si>
    <t xml:space="preserve">   Senior Notes</t>
  </si>
  <si>
    <t xml:space="preserve">   Senior Subordinated Notes</t>
  </si>
  <si>
    <t xml:space="preserve">   Other Debt</t>
  </si>
  <si>
    <t>Dividends (with negative sign)</t>
  </si>
  <si>
    <t xml:space="preserve">   Equity Issuance / (Repurchase)</t>
  </si>
  <si>
    <t xml:space="preserve">      Cash Flow from Financing Activities</t>
  </si>
  <si>
    <t xml:space="preserve">   Excess Cash for the Period</t>
  </si>
  <si>
    <t xml:space="preserve">   Beginning Cash Balance</t>
  </si>
  <si>
    <t xml:space="preserve">      Ending Cash Balance</t>
  </si>
  <si>
    <t>Debt Schedule</t>
  </si>
  <si>
    <t>Forward LIBOR Curve</t>
  </si>
  <si>
    <t>Cash Flow from Operating Activities</t>
  </si>
  <si>
    <t>Cash Flow from Investing Activities</t>
  </si>
  <si>
    <t>Expected Dividends</t>
  </si>
  <si>
    <t xml:space="preserve">   Cash Available for Debt Repayment</t>
  </si>
  <si>
    <t>Total Mandatory Repayments</t>
  </si>
  <si>
    <t>MinCash</t>
  </si>
  <si>
    <t>Cash From Balance Sheet</t>
  </si>
  <si>
    <t xml:space="preserve">   Cash Available for Optional Debt Repayment</t>
  </si>
  <si>
    <t>Revolving Credit Facility Size</t>
  </si>
  <si>
    <t>Spread</t>
  </si>
  <si>
    <t>LIBOR Floor</t>
  </si>
  <si>
    <t>Term</t>
  </si>
  <si>
    <t>Commitment Fee on Unused Portion</t>
  </si>
  <si>
    <t>Beginning Balance</t>
  </si>
  <si>
    <t xml:space="preserve">Drawdown/(Repayment) </t>
  </si>
  <si>
    <t xml:space="preserve">   Ending Balance</t>
  </si>
  <si>
    <t>Interest Rate</t>
  </si>
  <si>
    <t>Commitment Fee</t>
  </si>
  <si>
    <t>Term Loan A Facility</t>
  </si>
  <si>
    <t>Size</t>
  </si>
  <si>
    <t>Repayment Schedule</t>
  </si>
  <si>
    <t>Mandatory Repayments</t>
  </si>
  <si>
    <t>Optional Repayments</t>
  </si>
  <si>
    <t>Term Loan B Facility</t>
  </si>
  <si>
    <t>Per Annum, Bullet at Maturity</t>
  </si>
  <si>
    <t>Term Loan C Facility</t>
  </si>
  <si>
    <t>Existing Term Loan Facility</t>
  </si>
  <si>
    <t>Remaining Term</t>
  </si>
  <si>
    <t>Repayment</t>
  </si>
  <si>
    <t>Coupon</t>
  </si>
  <si>
    <t>Returns Analysis</t>
  </si>
  <si>
    <t>Entry EBITDA Multiple</t>
  </si>
  <si>
    <t>Initial Equity Investment</t>
  </si>
  <si>
    <t xml:space="preserve">   EBITDA</t>
  </si>
  <si>
    <t>Exit EBITDA Multiple</t>
  </si>
  <si>
    <t xml:space="preserve">   Enterprise Value at Exit</t>
  </si>
  <si>
    <t>Less: Net Debt</t>
  </si>
  <si>
    <t>Less: Cash and Cash Equivalents</t>
  </si>
  <si>
    <t xml:space="preserve">   Net Debt</t>
  </si>
  <si>
    <t xml:space="preserve">   Equity Value at Exit</t>
  </si>
  <si>
    <t>Cash Return</t>
  </si>
  <si>
    <t>Year 0</t>
  </si>
  <si>
    <t>Equity Proceeds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</si>
  <si>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</si>
  <si>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</si>
  <si>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</si>
  <si>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</si>
  <si>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</si>
  <si>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</si>
  <si>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</si>
  <si>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</si>
  <si>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</si>
  <si>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</si>
  <si>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IRR</t>
  </si>
  <si>
    <t>Assumptions Page 1 - Income Statement and Cash Flow Statement</t>
  </si>
  <si>
    <t>Sales (% growth)</t>
  </si>
  <si>
    <t xml:space="preserve">   Base</t>
  </si>
  <si>
    <t xml:space="preserve">   Operational Improvements</t>
  </si>
  <si>
    <t xml:space="preserve">   Major Stress</t>
  </si>
  <si>
    <t xml:space="preserve">   Alternative Scenario 3</t>
  </si>
  <si>
    <t xml:space="preserve">   Alternative Scenario 4</t>
  </si>
  <si>
    <t>Cost of Goods Sold (% sales)</t>
  </si>
  <si>
    <t>`</t>
  </si>
  <si>
    <t>Depreciation (% sales)</t>
  </si>
  <si>
    <t>Amortization (% sales)</t>
  </si>
  <si>
    <t>Cash Flow Statement Assumptions</t>
  </si>
  <si>
    <t>Capital Expenditures (% sales)</t>
  </si>
  <si>
    <t>Assumptions Page 2 - Balance Sheet</t>
  </si>
  <si>
    <t>Prepaids and Other Current Assets (% sales)</t>
  </si>
  <si>
    <t>Accrued Liabilities (% sales)</t>
  </si>
  <si>
    <t>Other Current Liabilities (% sales)</t>
  </si>
  <si>
    <t>Assumptions Page 3 - Financing Structures and Fees</t>
  </si>
  <si>
    <t>Financing Structures</t>
  </si>
  <si>
    <t>Structure</t>
  </si>
  <si>
    <t xml:space="preserve">Public / Private Target </t>
  </si>
  <si>
    <t>Structure 1</t>
  </si>
  <si>
    <t>Structure 2</t>
  </si>
  <si>
    <t>Structure 3</t>
  </si>
  <si>
    <t>Structure 4</t>
  </si>
  <si>
    <t>Structure 5</t>
  </si>
  <si>
    <t>Revolving Credit Facility Draw</t>
  </si>
  <si>
    <t xml:space="preserve">   Total Sources of Funds</t>
  </si>
  <si>
    <t>Equity Purchase Price</t>
  </si>
  <si>
    <t>Repay Existing Bank Debt</t>
  </si>
  <si>
    <t xml:space="preserve">   -</t>
  </si>
  <si>
    <t xml:space="preserve">   Total Uses of Funds</t>
  </si>
  <si>
    <t>Fees</t>
  </si>
  <si>
    <t>(%)</t>
  </si>
  <si>
    <t>($)</t>
  </si>
  <si>
    <t>Other Financing Fees &amp; Expenses</t>
  </si>
  <si>
    <t xml:space="preserve">   Total Financing Fees</t>
  </si>
  <si>
    <t>Amortization of Financing Fees</t>
  </si>
  <si>
    <t xml:space="preserve">   Annual Amortization</t>
  </si>
  <si>
    <t>SCENARIOS</t>
  </si>
  <si>
    <t>5Y IRR</t>
  </si>
  <si>
    <t>Baseline Scenario (Financing 1)</t>
  </si>
  <si>
    <t>Operational Improvements (Financing 1)</t>
  </si>
  <si>
    <t>Operational Improvements (Financing 2)</t>
  </si>
  <si>
    <t>Major Stress (Financing 2)</t>
  </si>
  <si>
    <t>Operational Improvements (Financing 1) + Dividends</t>
  </si>
  <si>
    <t>Operational Improvements (Financing 1) + Multiple Expansion</t>
  </si>
  <si>
    <t>Extrordinary Dividends (with negative sign)</t>
  </si>
  <si>
    <t>Mutliple Expansion</t>
  </si>
  <si>
    <t>Number</t>
  </si>
  <si>
    <t>Question</t>
  </si>
  <si>
    <t>Answer</t>
  </si>
  <si>
    <t>Describe how the Baseline assumptions for Sales Growth, COGS, SG&amp;A and Capex have been chosen</t>
  </si>
  <si>
    <t>Explain your choice of Sales growth assumptions under the Operational Improvements scenario</t>
  </si>
  <si>
    <t xml:space="preserve">Baseline assumptions for sales growth, COGS, SG&amp;A and capex have been choosen considering the operational scenarios given in the assignment. Inflation rate waas high untill 2025. Later it reduced to 2-3%. </t>
  </si>
  <si>
    <t>Explain your choice of COGS and SG&amp;A assumptions under the Operational Improvements scenario</t>
  </si>
  <si>
    <t>Explain your choice of Sales growth assumptions under the "inflation and High Interest Rates" scenario</t>
  </si>
  <si>
    <t>Explain your choice of COGS and SG&amp;A assumptions under the "inflation and High Interest Rates" scenario</t>
  </si>
  <si>
    <t>Describe how the level of the exit multiple in the Multiple Expansion Scenario has been quantified</t>
  </si>
  <si>
    <t>Describe the economiic intuition of how the PE Sponsor could achieve a multuple expansion</t>
  </si>
</sst>
</file>

<file path=xl/styles.xml><?xml version="1.0" encoding="utf-8"?>
<styleSheet xmlns="http://schemas.openxmlformats.org/spreadsheetml/2006/main">
  <numFmts count="39">
    <numFmt numFmtId="176" formatCode="_ &quot;₹&quot;* #,##0.00_ ;_ &quot;₹&quot;* \-#,##0.00_ ;_ &quot;₹&quot;* &quot;-&quot;??_ ;_ @_ "/>
    <numFmt numFmtId="177" formatCode="#,##0.000;[Red]#,##0.000"/>
    <numFmt numFmtId="178" formatCode="_ &quot;₹&quot;* #,##0_ ;_ &quot;₹&quot;* \-#,##0_ ;_ &quot;₹&quot;* &quot;-&quot;_ ;_ @_ "/>
    <numFmt numFmtId="179" formatCode="* _(&quot;$&quot;##,##0.0_);[Red]* \(&quot;$&quot;##,##0.0\);* _(&quot;-&quot;?_);_(@_)"/>
    <numFmt numFmtId="180" formatCode="dd/mm/yyyy"/>
    <numFmt numFmtId="181" formatCode="* _(##,##0.000_);* \(##,##0.000\);* _(&quot;-&quot;?_);_(@_)"/>
    <numFmt numFmtId="182" formatCode="_ * #,##0.00_ ;_ * \-#,##0.00_ ;_ * &quot;-&quot;??_ ;_ @_ "/>
    <numFmt numFmtId="183" formatCode="_ * #,##0_ ;_ * \-#,##0_ ;_ * &quot;-&quot;_ ;_ @_ "/>
    <numFmt numFmtId="184" formatCode="* _(#,##0.00%_);* \(#,##0.00%\);* _(&quot;-&quot;?_);_(@_)"/>
    <numFmt numFmtId="185" formatCode="_(* #,##0.0%_);_(* \(#,##0.0%\);_(* &quot;--- %&quot;_);_(* @_%_)"/>
    <numFmt numFmtId="186" formatCode="* _(##,##0.0_);[Red]* \(##,##0.0\);* _(&quot;-&quot;?_);_(@_)"/>
    <numFmt numFmtId="187" formatCode="0.000%"/>
    <numFmt numFmtId="188" formatCode="_(* #,##0.0_);_(* \(#,##0.0\);_(* &quot;-&quot;?_);_(@_)"/>
    <numFmt numFmtId="189" formatCode="_(* &quot;$&quot;#,##0.00_);_(* \(&quot;$&quot;#,##0.00\);_(* &quot;-&quot;?_);_(@_)"/>
    <numFmt numFmtId="190" formatCode="_(* #,##0.0%;_(* \(#,##0.0%\);_(* &quot;- %&quot;_);_(* @_%_)"/>
    <numFmt numFmtId="191" formatCode="_(* #,##0.00%_);_(* \(#,##0.00%\);_(* &quot;--- %&quot;_);_(* @_%_)"/>
    <numFmt numFmtId="192" formatCode="&quot;Year&quot;\ 0"/>
    <numFmt numFmtId="193" formatCode="_(* #,##0.00_);_(* \(#,##0.00\);_(* &quot;-&quot;??_);_(@_)"/>
    <numFmt numFmtId="194" formatCode="* _(##,##0_);[Red]* \(##,##0\);* _(&quot;-&quot;?_);_(@_)"/>
    <numFmt numFmtId="195" formatCode="_(* #,##0.0\x;_(* \(#,##0.0\x\);_(* &quot;- x&quot;_);_(* @_%_)"/>
    <numFmt numFmtId="196" formatCode="0.0%"/>
    <numFmt numFmtId="197" formatCode="0.0\x"/>
    <numFmt numFmtId="198" formatCode="* _(##,##0.00_);[Red]* \(##,##0.00\);* _(&quot;-&quot;?_);_(@_)"/>
    <numFmt numFmtId="199" formatCode="* _(##,##0.0_);* \(##,##0.0\);* _(&quot;-&quot;?_);_(@_)"/>
    <numFmt numFmtId="200" formatCode="_(* #,##0.00%;_(* \(#,##0.00%\);_(* &quot;- %&quot;_);_(* @_%_)"/>
    <numFmt numFmtId="201" formatCode="00\ &quot;years&quot;"/>
    <numFmt numFmtId="202" formatCode="#,##0.000_);[Red]\(#,##0.000\)"/>
    <numFmt numFmtId="203" formatCode="* _(#,##0.0%_);* \(#,##0.0%\);* _(&quot;-&quot;?_);_(@_)"/>
    <numFmt numFmtId="204" formatCode="0\ &quot;years&quot;"/>
    <numFmt numFmtId="205" formatCode="_(&quot;$&quot;* #,##0.0_);_(&quot;$&quot;* \(#,##0.0\);_(&quot;$&quot;* &quot;-&quot;?_);_(@_)"/>
    <numFmt numFmtId="206" formatCode="0.0%\ &quot;Per Annum, Bullet at Maturity&quot;"/>
    <numFmt numFmtId="207" formatCode="&quot;$&quot;#,##0.0_);[Red]\(&quot;$&quot;#,##0.0\)"/>
    <numFmt numFmtId="208" formatCode="_(* #,##0.0000\x;_(* \(#,##0.0000\x\);_(* &quot;- x&quot;_);_(* @_%_)"/>
    <numFmt numFmtId="209" formatCode="_(* #,##0_);_(* \(#,##0\);_(* &quot;-&quot;_);_(@_)"/>
    <numFmt numFmtId="210" formatCode="#,##0.0_);[Red]\(#,##0.0\)"/>
    <numFmt numFmtId="211" formatCode="_(* #,##0.000%;_(* \(#,##0.000%\);_(* &quot;- %&quot;_);_(* @_%_)"/>
    <numFmt numFmtId="212" formatCode="&quot;L+&quot;000\ &quot;bps&quot;"/>
    <numFmt numFmtId="213" formatCode="_(* &quot;$&quot;#,##0.0_);_(* \(&quot;$&quot;#,##0.0\);_(* &quot;-&quot;?_);_(@_)"/>
    <numFmt numFmtId="214" formatCode="_(* #,##0.0000_);_(* \(#,##0.0000\);_(* &quot;-&quot;?_);_(@_)"/>
  </numFmts>
  <fonts count="50">
    <font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8"/>
      <color rgb="FFFF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2"/>
      <color indexed="9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color indexed="12"/>
      <name val="Arial"/>
      <charset val="134"/>
    </font>
    <font>
      <b/>
      <sz val="10"/>
      <color indexed="12"/>
      <name val="Arial"/>
      <charset val="134"/>
    </font>
    <font>
      <i/>
      <sz val="10"/>
      <name val="Arial"/>
      <charset val="134"/>
    </font>
    <font>
      <b/>
      <i/>
      <sz val="10"/>
      <color theme="0"/>
      <name val="Arial"/>
      <charset val="134"/>
    </font>
    <font>
      <b/>
      <sz val="10"/>
      <color theme="0"/>
      <name val="Calibri"/>
      <charset val="134"/>
      <scheme val="minor"/>
    </font>
    <font>
      <sz val="11"/>
      <name val="Calibri"/>
      <charset val="134"/>
      <scheme val="minor"/>
    </font>
    <font>
      <b/>
      <sz val="12"/>
      <name val="Arial"/>
      <charset val="134"/>
    </font>
    <font>
      <b/>
      <sz val="20"/>
      <color indexed="9"/>
      <name val="Arial"/>
      <charset val="134"/>
    </font>
    <font>
      <sz val="10"/>
      <color indexed="9"/>
      <name val="Arial"/>
      <charset val="134"/>
    </font>
    <font>
      <i/>
      <sz val="10"/>
      <color indexed="9"/>
      <name val="Arial"/>
      <charset val="134"/>
    </font>
    <font>
      <b/>
      <sz val="10"/>
      <color theme="1"/>
      <name val="Arial"/>
      <charset val="134"/>
    </font>
    <font>
      <i/>
      <sz val="10"/>
      <color indexed="12"/>
      <name val="Arial"/>
      <charset val="134"/>
    </font>
    <font>
      <b/>
      <i/>
      <sz val="10"/>
      <color indexed="12"/>
      <name val="Arial"/>
      <charset val="134"/>
    </font>
    <font>
      <b/>
      <i/>
      <sz val="10"/>
      <name val="Arial"/>
      <charset val="134"/>
    </font>
    <font>
      <sz val="10"/>
      <color theme="0"/>
      <name val="Arial"/>
      <charset val="134"/>
    </font>
    <font>
      <b/>
      <sz val="24"/>
      <color indexed="9"/>
      <name val="Calibri"/>
      <charset val="134"/>
      <scheme val="minor"/>
    </font>
    <font>
      <b/>
      <sz val="16"/>
      <color indexed="9"/>
      <name val="Arial"/>
      <charset val="134"/>
    </font>
    <font>
      <sz val="14"/>
      <color indexed="9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9"/>
      <name val="Times New Roman"/>
      <charset val="13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0"/>
      <name val="MS Sans Serif"/>
      <charset val="134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9"/>
      <color indexed="0"/>
      <name val="Helvetica"/>
      <charset val="134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medium">
        <color rgb="FFC00000"/>
      </top>
      <bottom style="thin">
        <color auto="1"/>
      </bottom>
      <diagonal/>
    </border>
    <border>
      <left/>
      <right/>
      <top style="medium">
        <color rgb="FFC00000"/>
      </top>
      <bottom style="thin">
        <color auto="1"/>
      </bottom>
      <diagonal/>
    </border>
    <border>
      <left/>
      <right style="medium">
        <color rgb="FFC00000"/>
      </right>
      <top style="medium">
        <color rgb="FFC00000"/>
      </top>
      <bottom style="thin">
        <color auto="1"/>
      </bottom>
      <diagonal/>
    </border>
    <border>
      <left style="medium">
        <color rgb="FFC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C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medium">
        <color rgb="FFC00000"/>
      </right>
      <top style="thin">
        <color auto="1"/>
      </top>
      <bottom/>
      <diagonal/>
    </border>
    <border>
      <left style="medium">
        <color rgb="FFC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rgb="FFC00000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rgb="FFC00000"/>
      </right>
      <top/>
      <bottom/>
      <diagonal/>
    </border>
    <border>
      <left style="dotted">
        <color auto="1"/>
      </left>
      <right style="medium">
        <color rgb="FFC00000"/>
      </right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rgb="FFC00000"/>
      </right>
      <top style="thin">
        <color auto="1"/>
      </top>
      <bottom style="double">
        <color auto="1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auto="1"/>
      </top>
      <bottom style="medium">
        <color rgb="FFC00000"/>
      </bottom>
      <diagonal/>
    </border>
    <border>
      <left style="dotted">
        <color auto="1"/>
      </left>
      <right/>
      <top style="thin">
        <color auto="1"/>
      </top>
      <bottom style="medium">
        <color rgb="FFC00000"/>
      </bottom>
      <diagonal/>
    </border>
    <border>
      <left style="dotted">
        <color auto="1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/>
      <right style="medium">
        <color rgb="FFC00000"/>
      </right>
      <top/>
      <bottom style="thin">
        <color auto="1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thin">
        <color auto="1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9"/>
      </bottom>
      <diagonal/>
    </border>
    <border>
      <left/>
      <right/>
      <top style="medium">
        <color rgb="FFC00000"/>
      </top>
      <bottom style="medium">
        <color indexed="9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rgb="FFC00000"/>
      </bottom>
      <diagonal/>
    </border>
    <border>
      <left/>
      <right style="medium">
        <color rgb="FFC00000"/>
      </right>
      <top style="medium">
        <color indexed="9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9" fillId="1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13" borderId="62" applyNumberFormat="0" applyAlignment="0" applyProtection="0">
      <alignment vertical="center"/>
    </xf>
    <xf numFmtId="0" fontId="36" fillId="0" borderId="63" applyNumberFormat="0" applyFill="0" applyAlignment="0" applyProtection="0">
      <alignment vertical="center"/>
    </xf>
    <xf numFmtId="0" fontId="0" fillId="14" borderId="65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3" applyNumberFormat="0" applyFill="0" applyAlignment="0" applyProtection="0">
      <alignment vertical="center"/>
    </xf>
    <xf numFmtId="0" fontId="41" fillId="0" borderId="6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0" borderId="61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7" fillId="11" borderId="64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1" borderId="61" applyNumberFormat="0" applyAlignment="0" applyProtection="0">
      <alignment vertical="center"/>
    </xf>
    <xf numFmtId="0" fontId="45" fillId="0" borderId="67" applyNumberFormat="0" applyFill="0" applyAlignment="0" applyProtection="0">
      <alignment vertical="center"/>
    </xf>
    <xf numFmtId="0" fontId="46" fillId="0" borderId="68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29" fillId="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0" borderId="0"/>
    <xf numFmtId="0" fontId="32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49" fillId="0" borderId="0"/>
    <xf numFmtId="185" fontId="34" fillId="0" borderId="0" applyFont="0" applyFill="0" applyBorder="0" applyAlignment="0" applyProtection="0">
      <alignment horizontal="right"/>
    </xf>
  </cellStyleXfs>
  <cellXfs count="45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0" xfId="53" applyFont="1" applyFill="1" applyBorder="1" applyAlignment="1"/>
    <xf numFmtId="0" fontId="6" fillId="0" borderId="0" xfId="53" applyFont="1" applyFill="1" applyBorder="1" applyAlignment="1">
      <alignment horizontal="left"/>
    </xf>
    <xf numFmtId="0" fontId="7" fillId="5" borderId="4" xfId="53" applyFont="1" applyFill="1" applyBorder="1" applyAlignment="1"/>
    <xf numFmtId="0" fontId="7" fillId="5" borderId="5" xfId="53" applyFont="1" applyFill="1" applyBorder="1" applyAlignment="1"/>
    <xf numFmtId="0" fontId="7" fillId="5" borderId="6" xfId="53" applyFont="1" applyFill="1" applyBorder="1" applyAlignment="1"/>
    <xf numFmtId="0" fontId="8" fillId="0" borderId="0" xfId="53" applyFont="1" applyBorder="1"/>
    <xf numFmtId="0" fontId="8" fillId="6" borderId="7" xfId="53" applyFont="1" applyFill="1" applyBorder="1"/>
    <xf numFmtId="0" fontId="8" fillId="6" borderId="0" xfId="53" applyFont="1" applyFill="1" applyBorder="1"/>
    <xf numFmtId="0" fontId="9" fillId="7" borderId="8" xfId="53" applyNumberFormat="1" applyFont="1" applyFill="1" applyBorder="1" applyAlignment="1">
      <alignment horizontal="centerContinuous"/>
    </xf>
    <xf numFmtId="0" fontId="9" fillId="7" borderId="9" xfId="53" applyNumberFormat="1" applyFont="1" applyFill="1" applyBorder="1" applyAlignment="1">
      <alignment horizontal="centerContinuous"/>
    </xf>
    <xf numFmtId="0" fontId="9" fillId="6" borderId="10" xfId="53" applyFont="1" applyFill="1" applyBorder="1" applyAlignment="1">
      <alignment horizontal="center"/>
    </xf>
    <xf numFmtId="0" fontId="9" fillId="6" borderId="11" xfId="53" applyFont="1" applyFill="1" applyBorder="1" applyAlignment="1">
      <alignment horizontal="center"/>
    </xf>
    <xf numFmtId="0" fontId="9" fillId="6" borderId="12" xfId="53" applyFont="1" applyFill="1" applyBorder="1" applyAlignment="1">
      <alignment horizontal="center"/>
    </xf>
    <xf numFmtId="0" fontId="9" fillId="6" borderId="13" xfId="53" applyFont="1" applyFill="1" applyBorder="1" applyAlignment="1"/>
    <xf numFmtId="0" fontId="9" fillId="6" borderId="14" xfId="53" applyFont="1" applyFill="1" applyBorder="1" applyAlignment="1"/>
    <xf numFmtId="0" fontId="9" fillId="6" borderId="14" xfId="53" applyFont="1" applyFill="1" applyBorder="1" applyAlignment="1">
      <alignment horizontal="center"/>
    </xf>
    <xf numFmtId="0" fontId="9" fillId="6" borderId="15" xfId="53" applyFont="1" applyFill="1" applyBorder="1" applyAlignment="1">
      <alignment horizontal="center"/>
    </xf>
    <xf numFmtId="0" fontId="9" fillId="6" borderId="16" xfId="53" applyFont="1" applyFill="1" applyBorder="1" applyAlignment="1">
      <alignment horizontal="center"/>
    </xf>
    <xf numFmtId="0" fontId="8" fillId="6" borderId="7" xfId="53" applyFont="1" applyFill="1" applyBorder="1" applyAlignment="1"/>
    <xf numFmtId="179" fontId="10" fillId="8" borderId="0" xfId="53" applyNumberFormat="1" applyFont="1" applyFill="1" applyBorder="1"/>
    <xf numFmtId="179" fontId="10" fillId="8" borderId="17" xfId="53" applyNumberFormat="1" applyFont="1" applyFill="1" applyBorder="1"/>
    <xf numFmtId="179" fontId="10" fillId="8" borderId="18" xfId="53" applyNumberFormat="1" applyFont="1" applyFill="1" applyBorder="1"/>
    <xf numFmtId="186" fontId="10" fillId="8" borderId="0" xfId="53" applyNumberFormat="1" applyFont="1" applyFill="1" applyBorder="1"/>
    <xf numFmtId="186" fontId="10" fillId="8" borderId="17" xfId="53" applyNumberFormat="1" applyFont="1" applyFill="1" applyBorder="1"/>
    <xf numFmtId="186" fontId="10" fillId="8" borderId="19" xfId="53" applyNumberFormat="1" applyFont="1" applyFill="1" applyBorder="1"/>
    <xf numFmtId="186" fontId="10" fillId="8" borderId="20" xfId="53" applyNumberFormat="1" applyFont="1" applyFill="1" applyBorder="1"/>
    <xf numFmtId="188" fontId="8" fillId="0" borderId="0" xfId="53" applyNumberFormat="1" applyFont="1" applyBorder="1"/>
    <xf numFmtId="186" fontId="8" fillId="0" borderId="0" xfId="53" applyNumberFormat="1" applyFont="1" applyBorder="1"/>
    <xf numFmtId="186" fontId="8" fillId="6" borderId="0" xfId="53" applyNumberFormat="1" applyFont="1" applyFill="1" applyBorder="1"/>
    <xf numFmtId="186" fontId="8" fillId="6" borderId="17" xfId="53" applyNumberFormat="1" applyFont="1" applyFill="1" applyBorder="1"/>
    <xf numFmtId="186" fontId="8" fillId="6" borderId="19" xfId="53" applyNumberFormat="1" applyFont="1" applyFill="1" applyBorder="1"/>
    <xf numFmtId="186" fontId="10" fillId="8" borderId="14" xfId="53" applyNumberFormat="1" applyFont="1" applyFill="1" applyBorder="1"/>
    <xf numFmtId="186" fontId="10" fillId="8" borderId="15" xfId="53" applyNumberFormat="1" applyFont="1" applyFill="1" applyBorder="1"/>
    <xf numFmtId="186" fontId="10" fillId="8" borderId="16" xfId="53" applyNumberFormat="1" applyFont="1" applyFill="1" applyBorder="1"/>
    <xf numFmtId="0" fontId="9" fillId="6" borderId="7" xfId="53" applyFont="1" applyFill="1" applyBorder="1"/>
    <xf numFmtId="179" fontId="9" fillId="6" borderId="21" xfId="53" applyNumberFormat="1" applyFont="1" applyFill="1" applyBorder="1"/>
    <xf numFmtId="179" fontId="9" fillId="6" borderId="22" xfId="53" applyNumberFormat="1" applyFont="1" applyFill="1" applyBorder="1"/>
    <xf numFmtId="179" fontId="9" fillId="6" borderId="23" xfId="53" applyNumberFormat="1" applyFont="1" applyFill="1" applyBorder="1"/>
    <xf numFmtId="188" fontId="8" fillId="6" borderId="0" xfId="53" applyNumberFormat="1" applyFont="1" applyFill="1" applyBorder="1"/>
    <xf numFmtId="188" fontId="8" fillId="6" borderId="17" xfId="53" applyNumberFormat="1" applyFont="1" applyFill="1" applyBorder="1"/>
    <xf numFmtId="188" fontId="8" fillId="6" borderId="19" xfId="53" applyNumberFormat="1" applyFont="1" applyFill="1" applyBorder="1"/>
    <xf numFmtId="0" fontId="9" fillId="6" borderId="15" xfId="53" applyFont="1" applyFill="1" applyBorder="1" applyAlignment="1"/>
    <xf numFmtId="0" fontId="9" fillId="6" borderId="16" xfId="53" applyFont="1" applyFill="1" applyBorder="1" applyAlignment="1"/>
    <xf numFmtId="179" fontId="8" fillId="6" borderId="0" xfId="53" applyNumberFormat="1" applyFont="1" applyFill="1" applyBorder="1"/>
    <xf numFmtId="179" fontId="8" fillId="6" borderId="17" xfId="53" applyNumberFormat="1" applyFont="1" applyFill="1" applyBorder="1"/>
    <xf numFmtId="179" fontId="8" fillId="6" borderId="18" xfId="53" applyNumberFormat="1" applyFont="1" applyFill="1" applyBorder="1"/>
    <xf numFmtId="0" fontId="9" fillId="6" borderId="24" xfId="53" applyFont="1" applyFill="1" applyBorder="1"/>
    <xf numFmtId="0" fontId="8" fillId="6" borderId="25" xfId="53" applyFont="1" applyFill="1" applyBorder="1"/>
    <xf numFmtId="179" fontId="9" fillId="6" borderId="26" xfId="53" applyNumberFormat="1" applyFont="1" applyFill="1" applyBorder="1"/>
    <xf numFmtId="179" fontId="9" fillId="6" borderId="27" xfId="53" applyNumberFormat="1" applyFont="1" applyFill="1" applyBorder="1"/>
    <xf numFmtId="179" fontId="9" fillId="6" borderId="28" xfId="53" applyNumberFormat="1" applyFont="1" applyFill="1" applyBorder="1"/>
    <xf numFmtId="0" fontId="9" fillId="6" borderId="7" xfId="53" applyFont="1" applyFill="1" applyBorder="1" applyAlignment="1">
      <alignment horizontal="left"/>
    </xf>
    <xf numFmtId="0" fontId="9" fillId="6" borderId="0" xfId="53" applyFont="1" applyFill="1" applyBorder="1" applyAlignment="1">
      <alignment horizontal="left"/>
    </xf>
    <xf numFmtId="0" fontId="9" fillId="6" borderId="0" xfId="53" applyFont="1" applyFill="1" applyBorder="1" applyAlignment="1">
      <alignment horizontal="center"/>
    </xf>
    <xf numFmtId="0" fontId="9" fillId="7" borderId="8" xfId="53" applyFont="1" applyFill="1" applyBorder="1" applyAlignment="1">
      <alignment horizontal="centerContinuous"/>
    </xf>
    <xf numFmtId="0" fontId="9" fillId="7" borderId="9" xfId="53" applyFont="1" applyFill="1" applyBorder="1" applyAlignment="1">
      <alignment horizontal="centerContinuous"/>
    </xf>
    <xf numFmtId="0" fontId="9" fillId="7" borderId="1" xfId="53" applyFont="1" applyFill="1" applyBorder="1" applyAlignment="1">
      <alignment horizontal="center"/>
    </xf>
    <xf numFmtId="0" fontId="9" fillId="6" borderId="29" xfId="53" applyFont="1" applyFill="1" applyBorder="1" applyAlignment="1">
      <alignment horizontal="center"/>
    </xf>
    <xf numFmtId="190" fontId="10" fillId="8" borderId="0" xfId="55" applyNumberFormat="1" applyFont="1" applyFill="1" applyBorder="1" applyAlignment="1">
      <alignment horizontal="right" vertical="distributed"/>
    </xf>
    <xf numFmtId="186" fontId="8" fillId="6" borderId="18" xfId="53" applyNumberFormat="1" applyFont="1" applyFill="1" applyBorder="1"/>
    <xf numFmtId="186" fontId="10" fillId="8" borderId="29" xfId="53" applyNumberFormat="1" applyFont="1" applyFill="1" applyBorder="1"/>
    <xf numFmtId="188" fontId="8" fillId="6" borderId="25" xfId="53" applyNumberFormat="1" applyFont="1" applyFill="1" applyBorder="1"/>
    <xf numFmtId="179" fontId="9" fillId="6" borderId="30" xfId="53" applyNumberFormat="1" applyFont="1" applyFill="1" applyBorder="1"/>
    <xf numFmtId="0" fontId="7" fillId="5" borderId="31" xfId="53" applyFont="1" applyFill="1" applyBorder="1" applyAlignment="1"/>
    <xf numFmtId="0" fontId="7" fillId="5" borderId="32" xfId="53" applyFont="1" applyFill="1" applyBorder="1" applyAlignment="1"/>
    <xf numFmtId="0" fontId="9" fillId="6" borderId="0" xfId="53" applyFont="1" applyFill="1" applyBorder="1"/>
    <xf numFmtId="192" fontId="9" fillId="6" borderId="0" xfId="53" applyNumberFormat="1" applyFont="1" applyFill="1" applyBorder="1" applyAlignment="1">
      <alignment horizontal="center"/>
    </xf>
    <xf numFmtId="194" fontId="8" fillId="6" borderId="0" xfId="53" applyNumberFormat="1" applyFont="1" applyFill="1" applyBorder="1" applyAlignment="1">
      <alignment horizontal="center"/>
    </xf>
    <xf numFmtId="186" fontId="8" fillId="6" borderId="14" xfId="53" applyNumberFormat="1" applyFont="1" applyFill="1" applyBorder="1"/>
    <xf numFmtId="179" fontId="9" fillId="6" borderId="25" xfId="53" applyNumberFormat="1" applyFont="1" applyFill="1" applyBorder="1"/>
    <xf numFmtId="0" fontId="11" fillId="8" borderId="18" xfId="53" applyFont="1" applyFill="1" applyBorder="1" applyAlignment="1">
      <alignment horizontal="center"/>
    </xf>
    <xf numFmtId="189" fontId="10" fillId="8" borderId="18" xfId="53" applyNumberFormat="1" applyFont="1" applyFill="1" applyBorder="1"/>
    <xf numFmtId="195" fontId="8" fillId="6" borderId="18" xfId="53" applyNumberFormat="1" applyFont="1" applyFill="1" applyBorder="1"/>
    <xf numFmtId="181" fontId="10" fillId="8" borderId="18" xfId="53" applyNumberFormat="1" applyFont="1" applyFill="1" applyBorder="1"/>
    <xf numFmtId="0" fontId="9" fillId="6" borderId="7" xfId="53" applyFont="1" applyFill="1" applyBorder="1" applyAlignment="1">
      <alignment horizontal="left" indent="1"/>
    </xf>
    <xf numFmtId="179" fontId="9" fillId="6" borderId="18" xfId="53" applyNumberFormat="1" applyFont="1" applyFill="1" applyBorder="1"/>
    <xf numFmtId="0" fontId="8" fillId="6" borderId="18" xfId="53" applyFont="1" applyFill="1" applyBorder="1"/>
    <xf numFmtId="186" fontId="10" fillId="6" borderId="18" xfId="53" applyNumberFormat="1" applyFont="1" applyFill="1" applyBorder="1"/>
    <xf numFmtId="186" fontId="8" fillId="6" borderId="29" xfId="53" applyNumberFormat="1" applyFont="1" applyFill="1" applyBorder="1"/>
    <xf numFmtId="0" fontId="9" fillId="6" borderId="24" xfId="53" applyFont="1" applyFill="1" applyBorder="1" applyAlignment="1">
      <alignment horizontal="left" indent="1"/>
    </xf>
    <xf numFmtId="179" fontId="9" fillId="6" borderId="33" xfId="53" applyNumberFormat="1" applyFont="1" applyFill="1" applyBorder="1"/>
    <xf numFmtId="0" fontId="8" fillId="0" borderId="0" xfId="53" applyFont="1" applyFill="1" applyBorder="1"/>
    <xf numFmtId="10" fontId="0" fillId="0" borderId="0" xfId="6" applyNumberFormat="1" applyFont="1"/>
    <xf numFmtId="0" fontId="7" fillId="5" borderId="34" xfId="53" applyFont="1" applyFill="1" applyBorder="1" applyAlignment="1"/>
    <xf numFmtId="192" fontId="9" fillId="6" borderId="18" xfId="53" applyNumberFormat="1" applyFont="1" applyFill="1" applyBorder="1" applyAlignment="1">
      <alignment horizontal="center"/>
    </xf>
    <xf numFmtId="0" fontId="6" fillId="5" borderId="0" xfId="37" applyFont="1" applyFill="1" applyBorder="1" applyAlignment="1"/>
    <xf numFmtId="0" fontId="8" fillId="0" borderId="0" xfId="37" applyFont="1" applyBorder="1"/>
    <xf numFmtId="0" fontId="8" fillId="0" borderId="0" xfId="37" applyFont="1" applyBorder="1" applyAlignment="1">
      <alignment horizontal="center"/>
    </xf>
    <xf numFmtId="0" fontId="9" fillId="7" borderId="8" xfId="37" applyFont="1" applyFill="1" applyBorder="1" applyAlignment="1">
      <alignment horizontal="centerContinuous"/>
    </xf>
    <xf numFmtId="0" fontId="8" fillId="7" borderId="8" xfId="37" applyFont="1" applyFill="1" applyBorder="1" applyAlignment="1">
      <alignment horizontal="centerContinuous"/>
    </xf>
    <xf numFmtId="196" fontId="8" fillId="0" borderId="0" xfId="6" applyNumberFormat="1" applyFont="1" applyFill="1" applyBorder="1"/>
    <xf numFmtId="192" fontId="9" fillId="0" borderId="0" xfId="53" applyNumberFormat="1" applyFont="1" applyBorder="1" applyAlignment="1">
      <alignment horizontal="center"/>
    </xf>
    <xf numFmtId="0" fontId="9" fillId="0" borderId="14" xfId="54" applyFont="1" applyBorder="1" applyAlignment="1">
      <alignment horizontal="center"/>
    </xf>
    <xf numFmtId="196" fontId="12" fillId="0" borderId="0" xfId="37" applyNumberFormat="1" applyFont="1" applyBorder="1"/>
    <xf numFmtId="0" fontId="13" fillId="5" borderId="0" xfId="53" applyFont="1" applyFill="1" applyBorder="1"/>
    <xf numFmtId="0" fontId="14" fillId="5" borderId="0" xfId="53" applyFont="1" applyFill="1" applyBorder="1"/>
    <xf numFmtId="0" fontId="9" fillId="5" borderId="14" xfId="37" applyFont="1" applyFill="1" applyBorder="1"/>
    <xf numFmtId="0" fontId="9" fillId="0" borderId="0" xfId="37" applyFont="1" applyBorder="1"/>
    <xf numFmtId="198" fontId="8" fillId="0" borderId="0" xfId="53" applyNumberFormat="1" applyFont="1" applyFill="1"/>
    <xf numFmtId="198" fontId="10" fillId="8" borderId="35" xfId="53" applyNumberFormat="1" applyFont="1" applyFill="1" applyBorder="1"/>
    <xf numFmtId="198" fontId="10" fillId="8" borderId="36" xfId="53" applyNumberFormat="1" applyFont="1" applyFill="1" applyBorder="1"/>
    <xf numFmtId="198" fontId="10" fillId="8" borderId="37" xfId="53" applyNumberFormat="1" applyFont="1" applyFill="1" applyBorder="1"/>
    <xf numFmtId="186" fontId="12" fillId="0" borderId="14" xfId="37" applyNumberFormat="1" applyFont="1" applyBorder="1"/>
    <xf numFmtId="9" fontId="8" fillId="0" borderId="8" xfId="6" applyFont="1" applyFill="1" applyBorder="1" applyAlignment="1">
      <alignment horizontal="right" vertical="distributed"/>
    </xf>
    <xf numFmtId="9" fontId="10" fillId="8" borderId="35" xfId="6" applyNumberFormat="1" applyFont="1" applyFill="1" applyBorder="1" applyAlignment="1">
      <alignment horizontal="right" vertical="distributed"/>
    </xf>
    <xf numFmtId="9" fontId="10" fillId="8" borderId="36" xfId="6" applyFont="1" applyFill="1" applyBorder="1" applyAlignment="1">
      <alignment horizontal="right" vertical="distributed"/>
    </xf>
    <xf numFmtId="9" fontId="10" fillId="8" borderId="37" xfId="6" applyFont="1" applyFill="1" applyBorder="1" applyAlignment="1">
      <alignment horizontal="right" vertical="distributed"/>
    </xf>
    <xf numFmtId="196" fontId="12" fillId="0" borderId="10" xfId="37" applyNumberFormat="1" applyFont="1" applyBorder="1"/>
    <xf numFmtId="200" fontId="8" fillId="0" borderId="8" xfId="55" applyNumberFormat="1" applyFont="1" applyFill="1" applyBorder="1" applyAlignment="1">
      <alignment horizontal="right" vertical="distributed"/>
    </xf>
    <xf numFmtId="9" fontId="10" fillId="8" borderId="35" xfId="6" applyFont="1" applyFill="1" applyBorder="1" applyAlignment="1">
      <alignment horizontal="right" vertical="distributed"/>
    </xf>
    <xf numFmtId="9" fontId="10" fillId="8" borderId="10" xfId="6" applyFont="1" applyFill="1" applyBorder="1" applyAlignment="1">
      <alignment horizontal="right" vertical="distributed"/>
    </xf>
    <xf numFmtId="9" fontId="10" fillId="8" borderId="0" xfId="6" applyFont="1" applyFill="1" applyBorder="1" applyAlignment="1">
      <alignment horizontal="right" vertical="distributed"/>
    </xf>
    <xf numFmtId="9" fontId="10" fillId="8" borderId="14" xfId="6" applyFont="1" applyFill="1" applyBorder="1" applyAlignment="1">
      <alignment horizontal="right" vertical="distributed"/>
    </xf>
    <xf numFmtId="203" fontId="12" fillId="0" borderId="0" xfId="37" applyNumberFormat="1" applyFont="1" applyBorder="1"/>
    <xf numFmtId="9" fontId="8" fillId="8" borderId="10" xfId="6" applyFont="1" applyFill="1" applyBorder="1" applyAlignment="1">
      <alignment horizontal="right" vertical="distributed"/>
    </xf>
    <xf numFmtId="9" fontId="8" fillId="8" borderId="38" xfId="6" applyFont="1" applyFill="1" applyBorder="1" applyAlignment="1">
      <alignment horizontal="right" vertical="distributed"/>
    </xf>
    <xf numFmtId="9" fontId="8" fillId="8" borderId="0" xfId="6" applyFont="1" applyFill="1" applyBorder="1" applyAlignment="1">
      <alignment horizontal="right" vertical="distributed"/>
    </xf>
    <xf numFmtId="9" fontId="8" fillId="8" borderId="39" xfId="6" applyFont="1" applyFill="1" applyBorder="1" applyAlignment="1">
      <alignment horizontal="right" vertical="distributed"/>
    </xf>
    <xf numFmtId="9" fontId="8" fillId="8" borderId="14" xfId="6" applyFont="1" applyFill="1" applyBorder="1" applyAlignment="1">
      <alignment horizontal="right" vertical="distributed"/>
    </xf>
    <xf numFmtId="9" fontId="8" fillId="8" borderId="40" xfId="6" applyFont="1" applyFill="1" applyBorder="1" applyAlignment="1">
      <alignment horizontal="right" vertical="distributed"/>
    </xf>
    <xf numFmtId="0" fontId="15" fillId="0" borderId="0" xfId="0" applyFont="1"/>
    <xf numFmtId="0" fontId="6" fillId="5" borderId="0" xfId="32" applyFont="1" applyFill="1" applyBorder="1" applyAlignment="1"/>
    <xf numFmtId="0" fontId="8" fillId="0" borderId="0" xfId="32" applyFont="1" applyBorder="1"/>
    <xf numFmtId="0" fontId="8" fillId="0" borderId="0" xfId="32" applyFont="1" applyBorder="1" applyAlignment="1">
      <alignment horizontal="center"/>
    </xf>
    <xf numFmtId="0" fontId="9" fillId="7" borderId="8" xfId="32" applyFont="1" applyFill="1" applyBorder="1" applyAlignment="1">
      <alignment horizontal="centerContinuous"/>
    </xf>
    <xf numFmtId="0" fontId="8" fillId="7" borderId="8" xfId="32" applyFont="1" applyFill="1" applyBorder="1" applyAlignment="1">
      <alignment horizontal="centerContinuous"/>
    </xf>
    <xf numFmtId="196" fontId="12" fillId="0" borderId="0" xfId="32" applyNumberFormat="1" applyFont="1" applyBorder="1"/>
    <xf numFmtId="196" fontId="9" fillId="0" borderId="0" xfId="6" applyNumberFormat="1" applyFont="1" applyFill="1" applyBorder="1"/>
    <xf numFmtId="9" fontId="8" fillId="0" borderId="8" xfId="55" applyNumberFormat="1" applyFont="1" applyFill="1" applyBorder="1" applyAlignment="1">
      <alignment horizontal="right" vertical="distributed"/>
    </xf>
    <xf numFmtId="9" fontId="8" fillId="0" borderId="8" xfId="6" applyNumberFormat="1" applyFont="1" applyFill="1" applyBorder="1" applyAlignment="1">
      <alignment horizontal="right" vertical="distributed"/>
    </xf>
    <xf numFmtId="9" fontId="10" fillId="8" borderId="41" xfId="6" applyNumberFormat="1" applyFont="1" applyFill="1" applyBorder="1" applyAlignment="1">
      <alignment horizontal="right" vertical="distributed"/>
    </xf>
    <xf numFmtId="9" fontId="10" fillId="8" borderId="42" xfId="6" applyNumberFormat="1" applyFont="1" applyFill="1" applyBorder="1" applyAlignment="1">
      <alignment horizontal="right" vertical="distributed"/>
    </xf>
    <xf numFmtId="9" fontId="10" fillId="8" borderId="43" xfId="6" applyNumberFormat="1" applyFont="1" applyFill="1" applyBorder="1" applyAlignment="1">
      <alignment horizontal="right" vertical="distributed"/>
    </xf>
    <xf numFmtId="9" fontId="8" fillId="0" borderId="0" xfId="32" applyNumberFormat="1" applyFont="1" applyBorder="1"/>
    <xf numFmtId="9" fontId="10" fillId="8" borderId="36" xfId="6" applyNumberFormat="1" applyFont="1" applyFill="1" applyBorder="1" applyAlignment="1">
      <alignment horizontal="right" vertical="distributed"/>
    </xf>
    <xf numFmtId="9" fontId="10" fillId="8" borderId="37" xfId="6" applyNumberFormat="1" applyFont="1" applyFill="1" applyBorder="1" applyAlignment="1">
      <alignment horizontal="right" vertical="distributed"/>
    </xf>
    <xf numFmtId="0" fontId="8" fillId="0" borderId="0" xfId="32" applyFont="1" applyFill="1" applyBorder="1" applyAlignment="1">
      <alignment horizontal="center"/>
    </xf>
    <xf numFmtId="0" fontId="8" fillId="0" borderId="0" xfId="32" applyFont="1"/>
    <xf numFmtId="0" fontId="8" fillId="0" borderId="0" xfId="32" applyFont="1" applyAlignment="1">
      <alignment horizontal="center"/>
    </xf>
    <xf numFmtId="9" fontId="9" fillId="0" borderId="0" xfId="32" applyNumberFormat="1" applyFont="1"/>
    <xf numFmtId="196" fontId="9" fillId="0" borderId="0" xfId="6" applyNumberFormat="1" applyFont="1" applyBorder="1"/>
    <xf numFmtId="9" fontId="10" fillId="8" borderId="0" xfId="6" applyNumberFormat="1" applyFont="1" applyFill="1" applyBorder="1" applyAlignment="1">
      <alignment horizontal="right" vertical="distributed"/>
    </xf>
    <xf numFmtId="200" fontId="9" fillId="0" borderId="0" xfId="32" applyNumberFormat="1" applyFont="1" applyBorder="1"/>
    <xf numFmtId="200" fontId="14" fillId="5" borderId="0" xfId="53" applyNumberFormat="1" applyFont="1" applyFill="1" applyBorder="1"/>
    <xf numFmtId="200" fontId="9" fillId="5" borderId="14" xfId="37" applyNumberFormat="1" applyFont="1" applyFill="1" applyBorder="1"/>
    <xf numFmtId="0" fontId="9" fillId="0" borderId="0" xfId="49" applyFont="1"/>
    <xf numFmtId="0" fontId="8" fillId="0" borderId="39" xfId="32" applyFont="1" applyBorder="1" applyAlignment="1">
      <alignment horizontal="center"/>
    </xf>
    <xf numFmtId="0" fontId="16" fillId="5" borderId="0" xfId="32" applyFont="1" applyFill="1" applyBorder="1" applyAlignment="1"/>
    <xf numFmtId="200" fontId="0" fillId="0" borderId="0" xfId="0" applyNumberFormat="1"/>
    <xf numFmtId="9" fontId="8" fillId="8" borderId="10" xfId="6" applyNumberFormat="1" applyFont="1" applyFill="1" applyBorder="1" applyAlignment="1">
      <alignment horizontal="right" vertical="distributed"/>
    </xf>
    <xf numFmtId="9" fontId="8" fillId="8" borderId="41" xfId="6" applyNumberFormat="1" applyFont="1" applyFill="1" applyBorder="1" applyAlignment="1">
      <alignment horizontal="right" vertical="distributed"/>
    </xf>
    <xf numFmtId="9" fontId="8" fillId="8" borderId="0" xfId="6" applyNumberFormat="1" applyFont="1" applyFill="1" applyBorder="1" applyAlignment="1">
      <alignment horizontal="right" vertical="distributed"/>
    </xf>
    <xf numFmtId="9" fontId="8" fillId="8" borderId="42" xfId="6" applyNumberFormat="1" applyFont="1" applyFill="1" applyBorder="1" applyAlignment="1">
      <alignment horizontal="right" vertical="distributed"/>
    </xf>
    <xf numFmtId="9" fontId="8" fillId="8" borderId="14" xfId="6" applyNumberFormat="1" applyFont="1" applyFill="1" applyBorder="1" applyAlignment="1">
      <alignment horizontal="right" vertical="distributed"/>
    </xf>
    <xf numFmtId="9" fontId="8" fillId="8" borderId="43" xfId="6" applyNumberFormat="1" applyFont="1" applyFill="1" applyBorder="1" applyAlignment="1">
      <alignment horizontal="right" vertical="distributed"/>
    </xf>
    <xf numFmtId="9" fontId="8" fillId="8" borderId="35" xfId="6" applyNumberFormat="1" applyFont="1" applyFill="1" applyBorder="1" applyAlignment="1">
      <alignment horizontal="right" vertical="distributed"/>
    </xf>
    <xf numFmtId="9" fontId="8" fillId="8" borderId="36" xfId="6" applyNumberFormat="1" applyFont="1" applyFill="1" applyBorder="1" applyAlignment="1">
      <alignment horizontal="right" vertical="distributed"/>
    </xf>
    <xf numFmtId="9" fontId="8" fillId="8" borderId="37" xfId="6" applyNumberFormat="1" applyFont="1" applyFill="1" applyBorder="1" applyAlignment="1">
      <alignment horizontal="right" vertical="distributed"/>
    </xf>
    <xf numFmtId="9" fontId="8" fillId="8" borderId="39" xfId="6" applyNumberFormat="1" applyFont="1" applyFill="1" applyBorder="1" applyAlignment="1">
      <alignment horizontal="right" vertical="distributed"/>
    </xf>
    <xf numFmtId="0" fontId="17" fillId="5" borderId="0" xfId="53" applyFont="1" applyFill="1" applyBorder="1"/>
    <xf numFmtId="0" fontId="18" fillId="5" borderId="0" xfId="53" applyFont="1" applyFill="1" applyBorder="1"/>
    <xf numFmtId="0" fontId="6" fillId="5" borderId="0" xfId="43" applyFont="1" applyFill="1" applyBorder="1" applyAlignment="1"/>
    <xf numFmtId="0" fontId="19" fillId="5" borderId="0" xfId="53" applyFont="1" applyFill="1" applyBorder="1"/>
    <xf numFmtId="0" fontId="7" fillId="5" borderId="0" xfId="53" applyFont="1" applyFill="1" applyBorder="1"/>
    <xf numFmtId="0" fontId="8" fillId="0" borderId="0" xfId="43" applyFont="1"/>
    <xf numFmtId="0" fontId="9" fillId="7" borderId="14" xfId="43" applyFont="1" applyFill="1" applyBorder="1" applyAlignment="1">
      <alignment horizontal="centerContinuous"/>
    </xf>
    <xf numFmtId="0" fontId="8" fillId="7" borderId="14" xfId="43" applyFont="1" applyFill="1" applyBorder="1" applyAlignment="1">
      <alignment horizontal="centerContinuous"/>
    </xf>
    <xf numFmtId="192" fontId="9" fillId="0" borderId="0" xfId="43" applyNumberFormat="1" applyFont="1" applyAlignment="1">
      <alignment horizontal="center"/>
    </xf>
    <xf numFmtId="0" fontId="9" fillId="0" borderId="0" xfId="43" applyFont="1" applyAlignment="1">
      <alignment horizontal="center"/>
    </xf>
    <xf numFmtId="195" fontId="20" fillId="9" borderId="1" xfId="55" applyNumberFormat="1" applyFont="1" applyFill="1" applyBorder="1" applyAlignment="1">
      <alignment horizontal="right" vertical="distributed"/>
    </xf>
    <xf numFmtId="0" fontId="9" fillId="0" borderId="0" xfId="53" applyFont="1"/>
    <xf numFmtId="0" fontId="9" fillId="0" borderId="0" xfId="53" applyFont="1" applyAlignment="1">
      <alignment horizontal="center"/>
    </xf>
    <xf numFmtId="205" fontId="8" fillId="0" borderId="0" xfId="43" applyNumberFormat="1" applyFont="1"/>
    <xf numFmtId="179" fontId="8" fillId="0" borderId="0" xfId="53" applyNumberFormat="1" applyFont="1" applyFill="1"/>
    <xf numFmtId="0" fontId="9" fillId="0" borderId="0" xfId="43" applyFont="1"/>
    <xf numFmtId="195" fontId="11" fillId="8" borderId="1" xfId="55" applyNumberFormat="1" applyFont="1" applyFill="1" applyBorder="1" applyAlignment="1">
      <alignment horizontal="right" vertical="distributed"/>
    </xf>
    <xf numFmtId="186" fontId="8" fillId="0" borderId="14" xfId="53" applyNumberFormat="1" applyFont="1" applyFill="1" applyBorder="1"/>
    <xf numFmtId="179" fontId="9" fillId="0" borderId="0" xfId="53" applyNumberFormat="1" applyFont="1" applyFill="1" applyBorder="1"/>
    <xf numFmtId="207" fontId="9" fillId="0" borderId="0" xfId="53" applyNumberFormat="1" applyFont="1"/>
    <xf numFmtId="0" fontId="12" fillId="0" borderId="0" xfId="43" applyFont="1"/>
    <xf numFmtId="0" fontId="8" fillId="0" borderId="0" xfId="43" applyFont="1" applyFill="1"/>
    <xf numFmtId="186" fontId="8" fillId="0" borderId="0" xfId="53" applyNumberFormat="1" applyFont="1" applyFill="1" applyBorder="1"/>
    <xf numFmtId="0" fontId="9" fillId="0" borderId="0" xfId="43" applyFont="1" applyFill="1"/>
    <xf numFmtId="179" fontId="9" fillId="0" borderId="21" xfId="53" applyNumberFormat="1" applyFont="1" applyFill="1" applyBorder="1"/>
    <xf numFmtId="0" fontId="9" fillId="7" borderId="2" xfId="43" applyFont="1" applyFill="1" applyBorder="1"/>
    <xf numFmtId="0" fontId="9" fillId="7" borderId="8" xfId="43" applyFont="1" applyFill="1" applyBorder="1"/>
    <xf numFmtId="0" fontId="9" fillId="7" borderId="8" xfId="53" applyFont="1" applyFill="1" applyBorder="1"/>
    <xf numFmtId="197" fontId="9" fillId="7" borderId="8" xfId="55" applyNumberFormat="1" applyFont="1" applyFill="1" applyBorder="1" applyAlignment="1">
      <alignment horizontal="center"/>
    </xf>
    <xf numFmtId="0" fontId="9" fillId="0" borderId="14" xfId="43" applyFont="1" applyBorder="1"/>
    <xf numFmtId="0" fontId="9" fillId="0" borderId="14" xfId="43" applyFont="1" applyBorder="1" applyAlignment="1">
      <alignment horizontal="right"/>
    </xf>
    <xf numFmtId="0" fontId="9" fillId="0" borderId="40" xfId="43" applyFont="1" applyBorder="1" applyAlignment="1">
      <alignment horizontal="right"/>
    </xf>
    <xf numFmtId="0" fontId="9" fillId="0" borderId="0" xfId="43" applyFont="1" applyFill="1" applyAlignment="1">
      <alignment horizontal="right"/>
    </xf>
    <xf numFmtId="0" fontId="9" fillId="0" borderId="39" xfId="43" applyFont="1" applyBorder="1" applyAlignment="1">
      <alignment horizontal="right"/>
    </xf>
    <xf numFmtId="186" fontId="8" fillId="0" borderId="0" xfId="53" applyNumberFormat="1" applyFont="1" applyFill="1"/>
    <xf numFmtId="191" fontId="9" fillId="7" borderId="8" xfId="55" applyNumberFormat="1" applyFont="1" applyFill="1" applyBorder="1" applyAlignment="1">
      <alignment horizontal="center"/>
    </xf>
    <xf numFmtId="9" fontId="8" fillId="0" borderId="0" xfId="43" applyNumberFormat="1" applyFont="1"/>
    <xf numFmtId="0" fontId="0" fillId="5" borderId="0" xfId="0" applyFill="1"/>
    <xf numFmtId="0" fontId="7" fillId="5" borderId="0" xfId="53" applyFont="1" applyFill="1" applyBorder="1" applyAlignment="1">
      <alignment horizontal="right"/>
    </xf>
    <xf numFmtId="197" fontId="9" fillId="7" borderId="3" xfId="55" applyNumberFormat="1" applyFont="1" applyFill="1" applyBorder="1" applyAlignment="1">
      <alignment horizontal="center"/>
    </xf>
    <xf numFmtId="191" fontId="9" fillId="7" borderId="3" xfId="55" applyNumberFormat="1" applyFont="1" applyFill="1" applyBorder="1" applyAlignment="1">
      <alignment horizontal="center"/>
    </xf>
    <xf numFmtId="208" fontId="0" fillId="0" borderId="0" xfId="0" applyNumberFormat="1"/>
    <xf numFmtId="0" fontId="9" fillId="7" borderId="14" xfId="53" applyFont="1" applyFill="1" applyBorder="1" applyAlignment="1">
      <alignment horizontal="centerContinuous"/>
    </xf>
    <xf numFmtId="0" fontId="8" fillId="7" borderId="14" xfId="53" applyFont="1" applyFill="1" applyBorder="1" applyAlignment="1">
      <alignment horizontal="centerContinuous"/>
    </xf>
    <xf numFmtId="192" fontId="9" fillId="0" borderId="0" xfId="53" applyNumberFormat="1" applyFont="1" applyAlignment="1">
      <alignment horizontal="center"/>
    </xf>
    <xf numFmtId="0" fontId="9" fillId="0" borderId="0" xfId="53" applyFont="1" applyFill="1"/>
    <xf numFmtId="0" fontId="9" fillId="0" borderId="14" xfId="53" applyFont="1" applyFill="1" applyBorder="1" applyAlignment="1">
      <alignment horizontal="center"/>
    </xf>
    <xf numFmtId="0" fontId="8" fillId="0" borderId="0" xfId="53" applyFont="1" applyFill="1"/>
    <xf numFmtId="200" fontId="21" fillId="8" borderId="0" xfId="55" applyNumberFormat="1" applyFont="1" applyFill="1" applyBorder="1" applyAlignment="1">
      <alignment horizontal="right" vertical="distributed"/>
    </xf>
    <xf numFmtId="10" fontId="21" fillId="0" borderId="0" xfId="53" applyNumberFormat="1" applyFont="1" applyFill="1" applyBorder="1"/>
    <xf numFmtId="10" fontId="21" fillId="0" borderId="0" xfId="53" applyNumberFormat="1" applyFont="1" applyFill="1"/>
    <xf numFmtId="179" fontId="8" fillId="0" borderId="0" xfId="53" applyNumberFormat="1" applyFont="1" applyFill="1" applyBorder="1"/>
    <xf numFmtId="10" fontId="21" fillId="0" borderId="14" xfId="53" applyNumberFormat="1" applyFont="1" applyFill="1" applyBorder="1"/>
    <xf numFmtId="0" fontId="9" fillId="6" borderId="42" xfId="53" applyFont="1" applyFill="1" applyBorder="1" applyAlignment="1">
      <alignment horizontal="center"/>
    </xf>
    <xf numFmtId="186" fontId="10" fillId="8" borderId="1" xfId="53" applyNumberFormat="1" applyFont="1" applyFill="1" applyBorder="1"/>
    <xf numFmtId="10" fontId="22" fillId="0" borderId="0" xfId="53" applyNumberFormat="1" applyFont="1" applyFill="1"/>
    <xf numFmtId="209" fontId="8" fillId="0" borderId="0" xfId="53" applyNumberFormat="1" applyFont="1" applyFill="1"/>
    <xf numFmtId="209" fontId="10" fillId="0" borderId="0" xfId="53" applyNumberFormat="1" applyFont="1" applyFill="1"/>
    <xf numFmtId="0" fontId="23" fillId="0" borderId="0" xfId="53" applyFont="1" applyFill="1"/>
    <xf numFmtId="209" fontId="9" fillId="0" borderId="0" xfId="53" applyNumberFormat="1" applyFont="1" applyFill="1"/>
    <xf numFmtId="0" fontId="8" fillId="6" borderId="35" xfId="53" applyFont="1" applyFill="1" applyBorder="1"/>
    <xf numFmtId="179" fontId="8" fillId="6" borderId="10" xfId="53" applyNumberFormat="1" applyFont="1" applyFill="1" applyBorder="1"/>
    <xf numFmtId="210" fontId="9" fillId="6" borderId="10" xfId="53" applyNumberFormat="1" applyFont="1" applyFill="1" applyBorder="1"/>
    <xf numFmtId="0" fontId="8" fillId="6" borderId="36" xfId="53" applyFont="1" applyFill="1" applyBorder="1"/>
    <xf numFmtId="211" fontId="21" fillId="8" borderId="0" xfId="55" applyNumberFormat="1" applyFont="1" applyFill="1" applyBorder="1" applyAlignment="1">
      <alignment horizontal="right" vertical="distributed"/>
    </xf>
    <xf numFmtId="210" fontId="9" fillId="6" borderId="0" xfId="53" applyNumberFormat="1" applyFont="1" applyFill="1" applyBorder="1"/>
    <xf numFmtId="204" fontId="10" fillId="8" borderId="0" xfId="53" applyNumberFormat="1" applyFont="1" applyFill="1" applyBorder="1"/>
    <xf numFmtId="0" fontId="9" fillId="6" borderId="36" xfId="53" applyFont="1" applyFill="1" applyBorder="1"/>
    <xf numFmtId="179" fontId="9" fillId="6" borderId="0" xfId="53" applyNumberFormat="1" applyFont="1" applyFill="1" applyBorder="1"/>
    <xf numFmtId="184" fontId="12" fillId="6" borderId="0" xfId="53" applyNumberFormat="1" applyFont="1" applyFill="1" applyBorder="1" applyAlignment="1">
      <alignment horizontal="right"/>
    </xf>
    <xf numFmtId="0" fontId="8" fillId="6" borderId="37" xfId="53" applyFont="1" applyFill="1" applyBorder="1"/>
    <xf numFmtId="0" fontId="9" fillId="6" borderId="14" xfId="53" applyFont="1" applyFill="1" applyBorder="1"/>
    <xf numFmtId="0" fontId="9" fillId="0" borderId="0" xfId="53" applyFont="1" applyFill="1" applyBorder="1"/>
    <xf numFmtId="188" fontId="8" fillId="0" borderId="0" xfId="53" applyNumberFormat="1" applyFont="1" applyFill="1" applyBorder="1"/>
    <xf numFmtId="0" fontId="23" fillId="0" borderId="0" xfId="53" applyFont="1" applyFill="1" applyBorder="1"/>
    <xf numFmtId="210" fontId="9" fillId="0" borderId="0" xfId="53" applyNumberFormat="1" applyFont="1" applyFill="1" applyBorder="1"/>
    <xf numFmtId="213" fontId="8" fillId="6" borderId="10" xfId="53" applyNumberFormat="1" applyFont="1" applyFill="1" applyBorder="1"/>
    <xf numFmtId="190" fontId="21" fillId="8" borderId="0" xfId="55" applyNumberFormat="1" applyFont="1" applyFill="1" applyBorder="1" applyAlignment="1">
      <alignment horizontal="right" vertical="distributed"/>
    </xf>
    <xf numFmtId="196" fontId="12" fillId="6" borderId="0" xfId="53" applyNumberFormat="1" applyFont="1" applyFill="1" applyBorder="1"/>
    <xf numFmtId="205" fontId="9" fillId="6" borderId="0" xfId="53" applyNumberFormat="1" applyFont="1" applyFill="1" applyBorder="1"/>
    <xf numFmtId="210" fontId="9" fillId="0" borderId="0" xfId="53" applyNumberFormat="1" applyFont="1" applyFill="1"/>
    <xf numFmtId="10" fontId="8" fillId="6" borderId="0" xfId="53" applyNumberFormat="1" applyFont="1" applyFill="1" applyBorder="1" applyAlignment="1">
      <alignment horizontal="left"/>
    </xf>
    <xf numFmtId="210" fontId="8" fillId="6" borderId="0" xfId="53" applyNumberFormat="1" applyFont="1" applyFill="1" applyBorder="1"/>
    <xf numFmtId="206" fontId="10" fillId="6" borderId="0" xfId="53" applyNumberFormat="1" applyFont="1" applyFill="1" applyBorder="1" applyAlignment="1"/>
    <xf numFmtId="0" fontId="6" fillId="5" borderId="0" xfId="53" applyFont="1" applyFill="1" applyBorder="1" applyAlignment="1">
      <alignment horizontal="left"/>
    </xf>
    <xf numFmtId="210" fontId="9" fillId="6" borderId="38" xfId="53" applyNumberFormat="1" applyFont="1" applyFill="1" applyBorder="1"/>
    <xf numFmtId="210" fontId="9" fillId="6" borderId="39" xfId="53" applyNumberFormat="1" applyFont="1" applyFill="1" applyBorder="1"/>
    <xf numFmtId="179" fontId="8" fillId="6" borderId="39" xfId="53" applyNumberFormat="1" applyFont="1" applyFill="1" applyBorder="1"/>
    <xf numFmtId="186" fontId="8" fillId="6" borderId="40" xfId="53" applyNumberFormat="1" applyFont="1" applyFill="1" applyBorder="1"/>
    <xf numFmtId="179" fontId="9" fillId="6" borderId="39" xfId="53" applyNumberFormat="1" applyFont="1" applyFill="1" applyBorder="1"/>
    <xf numFmtId="184" fontId="12" fillId="6" borderId="39" xfId="53" applyNumberFormat="1" applyFont="1" applyFill="1" applyBorder="1" applyAlignment="1">
      <alignment horizontal="right"/>
    </xf>
    <xf numFmtId="186" fontId="8" fillId="6" borderId="39" xfId="53" applyNumberFormat="1" applyFont="1" applyFill="1" applyBorder="1"/>
    <xf numFmtId="196" fontId="21" fillId="6" borderId="0" xfId="53" applyNumberFormat="1" applyFont="1" applyFill="1" applyBorder="1"/>
    <xf numFmtId="205" fontId="9" fillId="6" borderId="39" xfId="53" applyNumberFormat="1" applyFont="1" applyFill="1" applyBorder="1"/>
    <xf numFmtId="188" fontId="9" fillId="0" borderId="0" xfId="53" applyNumberFormat="1" applyFont="1" applyFill="1" applyBorder="1"/>
    <xf numFmtId="0" fontId="9" fillId="6" borderId="10" xfId="53" applyFont="1" applyFill="1" applyBorder="1"/>
    <xf numFmtId="199" fontId="10" fillId="8" borderId="14" xfId="53" applyNumberFormat="1" applyFont="1" applyFill="1" applyBorder="1"/>
    <xf numFmtId="187" fontId="9" fillId="6" borderId="0" xfId="53" applyNumberFormat="1" applyFont="1" applyFill="1" applyBorder="1"/>
    <xf numFmtId="188" fontId="9" fillId="6" borderId="14" xfId="53" applyNumberFormat="1" applyFont="1" applyFill="1" applyBorder="1"/>
    <xf numFmtId="179" fontId="8" fillId="6" borderId="14" xfId="53" applyNumberFormat="1" applyFont="1" applyFill="1" applyBorder="1"/>
    <xf numFmtId="193" fontId="9" fillId="0" borderId="0" xfId="53" applyNumberFormat="1" applyFont="1" applyFill="1"/>
    <xf numFmtId="0" fontId="9" fillId="6" borderId="38" xfId="53" applyFont="1" applyFill="1" applyBorder="1"/>
    <xf numFmtId="0" fontId="9" fillId="6" borderId="39" xfId="53" applyFont="1" applyFill="1" applyBorder="1"/>
    <xf numFmtId="199" fontId="10" fillId="8" borderId="40" xfId="53" applyNumberFormat="1" applyFont="1" applyFill="1" applyBorder="1"/>
    <xf numFmtId="179" fontId="8" fillId="6" borderId="40" xfId="53" applyNumberFormat="1" applyFont="1" applyFill="1" applyBorder="1"/>
    <xf numFmtId="0" fontId="23" fillId="0" borderId="0" xfId="53" applyFont="1"/>
    <xf numFmtId="188" fontId="9" fillId="0" borderId="0" xfId="53" applyNumberFormat="1" applyFont="1"/>
    <xf numFmtId="0" fontId="8" fillId="0" borderId="0" xfId="49"/>
    <xf numFmtId="0" fontId="23" fillId="0" borderId="0" xfId="49" applyFont="1"/>
    <xf numFmtId="186" fontId="8" fillId="0" borderId="8" xfId="53" applyNumberFormat="1" applyFont="1" applyFill="1" applyBorder="1"/>
    <xf numFmtId="179" fontId="9" fillId="0" borderId="14" xfId="53" applyNumberFormat="1" applyFont="1" applyFill="1" applyBorder="1"/>
    <xf numFmtId="0" fontId="8" fillId="0" borderId="0" xfId="53" applyFont="1"/>
    <xf numFmtId="0" fontId="8" fillId="0" borderId="0" xfId="53" applyFont="1" applyFill="1" applyAlignment="1">
      <alignment horizontal="left"/>
    </xf>
    <xf numFmtId="199" fontId="10" fillId="8" borderId="0" xfId="53" applyNumberFormat="1" applyFont="1" applyFill="1" applyBorder="1"/>
    <xf numFmtId="179" fontId="24" fillId="5" borderId="0" xfId="53" applyNumberFormat="1" applyFont="1" applyFill="1" applyBorder="1"/>
    <xf numFmtId="0" fontId="9" fillId="0" borderId="0" xfId="53" applyFont="1" applyAlignment="1">
      <alignment horizontal="centerContinuous"/>
    </xf>
    <xf numFmtId="0" fontId="9" fillId="0" borderId="14" xfId="53" applyFont="1" applyBorder="1" applyAlignment="1">
      <alignment horizontal="center"/>
    </xf>
    <xf numFmtId="179" fontId="10" fillId="8" borderId="0" xfId="53" applyNumberFormat="1" applyFont="1" applyFill="1"/>
    <xf numFmtId="210" fontId="8" fillId="0" borderId="44" xfId="55" applyNumberFormat="1" applyFont="1" applyBorder="1" applyAlignment="1">
      <alignment horizontal="center" vertical="distributed"/>
    </xf>
    <xf numFmtId="210" fontId="8" fillId="0" borderId="45" xfId="55" applyNumberFormat="1" applyFont="1" applyBorder="1" applyAlignment="1">
      <alignment horizontal="center" vertical="distributed"/>
    </xf>
    <xf numFmtId="186" fontId="10" fillId="8" borderId="0" xfId="53" applyNumberFormat="1" applyFont="1" applyFill="1"/>
    <xf numFmtId="210" fontId="8" fillId="0" borderId="46" xfId="55" applyNumberFormat="1" applyFont="1" applyBorder="1" applyAlignment="1">
      <alignment horizontal="center" vertical="distributed"/>
    </xf>
    <xf numFmtId="210" fontId="8" fillId="0" borderId="20" xfId="55" applyNumberFormat="1" applyFont="1" applyBorder="1" applyAlignment="1">
      <alignment horizontal="center" vertical="distributed"/>
    </xf>
    <xf numFmtId="0" fontId="9" fillId="0" borderId="0" xfId="53" applyFont="1" applyFill="1" applyAlignment="1">
      <alignment horizontal="left"/>
    </xf>
    <xf numFmtId="179" fontId="9" fillId="0" borderId="0" xfId="53" applyNumberFormat="1" applyFont="1" applyFill="1"/>
    <xf numFmtId="0" fontId="9" fillId="0" borderId="0" xfId="53" applyFont="1" applyFill="1" applyAlignment="1">
      <alignment horizontal="left" indent="1"/>
    </xf>
    <xf numFmtId="210" fontId="9" fillId="0" borderId="0" xfId="53" applyNumberFormat="1" applyFont="1"/>
    <xf numFmtId="186" fontId="10" fillId="8" borderId="47" xfId="53" applyNumberFormat="1" applyFont="1" applyFill="1" applyBorder="1"/>
    <xf numFmtId="179" fontId="9" fillId="0" borderId="48" xfId="53" applyNumberFormat="1" applyFont="1" applyFill="1" applyBorder="1"/>
    <xf numFmtId="210" fontId="8" fillId="0" borderId="49" xfId="55" applyNumberFormat="1" applyFont="1" applyBorder="1" applyAlignment="1">
      <alignment horizontal="center" vertical="distributed"/>
    </xf>
    <xf numFmtId="210" fontId="8" fillId="0" borderId="50" xfId="55" applyNumberFormat="1" applyFont="1" applyBorder="1" applyAlignment="1">
      <alignment horizontal="center" vertical="distributed"/>
    </xf>
    <xf numFmtId="0" fontId="12" fillId="0" borderId="0" xfId="53" applyFont="1" applyFill="1"/>
    <xf numFmtId="202" fontId="12" fillId="0" borderId="0" xfId="53" applyNumberFormat="1" applyFont="1"/>
    <xf numFmtId="202" fontId="12" fillId="0" borderId="0" xfId="53" applyNumberFormat="1" applyFont="1" applyFill="1"/>
    <xf numFmtId="177" fontId="12" fillId="0" borderId="0" xfId="53" applyNumberFormat="1" applyFont="1"/>
    <xf numFmtId="0" fontId="23" fillId="7" borderId="2" xfId="53" applyFont="1" applyFill="1" applyBorder="1" applyAlignment="1">
      <alignment horizontal="left"/>
    </xf>
    <xf numFmtId="0" fontId="9" fillId="7" borderId="10" xfId="53" applyFont="1" applyFill="1" applyBorder="1"/>
    <xf numFmtId="0" fontId="9" fillId="7" borderId="44" xfId="53" applyFont="1" applyFill="1" applyBorder="1"/>
    <xf numFmtId="0" fontId="8" fillId="7" borderId="36" xfId="53" applyFont="1" applyFill="1" applyBorder="1"/>
    <xf numFmtId="198" fontId="8" fillId="7" borderId="0" xfId="53" applyNumberFormat="1" applyFont="1" applyFill="1" applyBorder="1"/>
    <xf numFmtId="198" fontId="8" fillId="7" borderId="46" xfId="53" applyNumberFormat="1" applyFont="1" applyFill="1" applyBorder="1"/>
    <xf numFmtId="200" fontId="8" fillId="7" borderId="0" xfId="55" applyNumberFormat="1" applyFont="1" applyFill="1" applyBorder="1" applyAlignment="1">
      <alignment horizontal="right" vertical="distributed"/>
    </xf>
    <xf numFmtId="200" fontId="8" fillId="7" borderId="46" xfId="55" applyNumberFormat="1" applyFont="1" applyFill="1" applyBorder="1" applyAlignment="1">
      <alignment horizontal="right" vertical="distributed"/>
    </xf>
    <xf numFmtId="0" fontId="9" fillId="7" borderId="36" xfId="53" applyFont="1" applyFill="1" applyBorder="1"/>
    <xf numFmtId="196" fontId="8" fillId="7" borderId="0" xfId="6" applyNumberFormat="1" applyFont="1" applyFill="1" applyBorder="1"/>
    <xf numFmtId="0" fontId="9" fillId="7" borderId="0" xfId="53" applyFont="1" applyFill="1" applyBorder="1"/>
    <xf numFmtId="196" fontId="9" fillId="7" borderId="0" xfId="53" applyNumberFormat="1" applyFont="1" applyFill="1" applyBorder="1"/>
    <xf numFmtId="196" fontId="9" fillId="7" borderId="46" xfId="53" applyNumberFormat="1" applyFont="1" applyFill="1" applyBorder="1"/>
    <xf numFmtId="0" fontId="23" fillId="7" borderId="37" xfId="53" applyFont="1" applyFill="1" applyBorder="1" applyAlignment="1">
      <alignment horizontal="left"/>
    </xf>
    <xf numFmtId="0" fontId="8" fillId="7" borderId="0" xfId="53" applyFont="1" applyFill="1" applyBorder="1"/>
    <xf numFmtId="0" fontId="9" fillId="7" borderId="46" xfId="53" applyFont="1" applyFill="1" applyBorder="1"/>
    <xf numFmtId="0" fontId="8" fillId="7" borderId="37" xfId="53" applyFont="1" applyFill="1" applyBorder="1"/>
    <xf numFmtId="200" fontId="8" fillId="7" borderId="14" xfId="55" applyNumberFormat="1" applyFont="1" applyFill="1" applyBorder="1" applyAlignment="1">
      <alignment horizontal="right" vertical="distributed"/>
    </xf>
    <xf numFmtId="200" fontId="8" fillId="7" borderId="51" xfId="55" applyNumberFormat="1" applyFont="1" applyFill="1" applyBorder="1" applyAlignment="1">
      <alignment horizontal="right" vertical="distributed"/>
    </xf>
    <xf numFmtId="0" fontId="9" fillId="7" borderId="38" xfId="53" applyFont="1" applyFill="1" applyBorder="1"/>
    <xf numFmtId="198" fontId="8" fillId="7" borderId="39" xfId="53" applyNumberFormat="1" applyFont="1" applyFill="1" applyBorder="1"/>
    <xf numFmtId="200" fontId="8" fillId="7" borderId="39" xfId="55" applyNumberFormat="1" applyFont="1" applyFill="1" applyBorder="1" applyAlignment="1">
      <alignment horizontal="right" vertical="distributed"/>
    </xf>
    <xf numFmtId="196" fontId="9" fillId="7" borderId="39" xfId="53" applyNumberFormat="1" applyFont="1" applyFill="1" applyBorder="1"/>
    <xf numFmtId="0" fontId="9" fillId="7" borderId="39" xfId="53" applyFont="1" applyFill="1" applyBorder="1"/>
    <xf numFmtId="200" fontId="8" fillId="7" borderId="40" xfId="55" applyNumberFormat="1" applyFont="1" applyFill="1" applyBorder="1" applyAlignment="1">
      <alignment horizontal="right" vertical="distributed"/>
    </xf>
    <xf numFmtId="193" fontId="0" fillId="0" borderId="0" xfId="0" applyNumberFormat="1"/>
    <xf numFmtId="179" fontId="9" fillId="0" borderId="0" xfId="53" applyNumberFormat="1" applyFont="1" applyFill="1" applyBorder="1" applyAlignment="1">
      <alignment horizontal="center"/>
    </xf>
    <xf numFmtId="0" fontId="9" fillId="0" borderId="17" xfId="53" applyFont="1" applyFill="1" applyBorder="1" applyAlignment="1">
      <alignment horizontal="center"/>
    </xf>
    <xf numFmtId="0" fontId="9" fillId="0" borderId="0" xfId="53" applyFont="1" applyBorder="1" applyAlignment="1">
      <alignment horizontal="center"/>
    </xf>
    <xf numFmtId="180" fontId="9" fillId="0" borderId="15" xfId="53" applyNumberFormat="1" applyFont="1" applyFill="1" applyBorder="1" applyAlignment="1">
      <alignment horizontal="center"/>
    </xf>
    <xf numFmtId="179" fontId="11" fillId="8" borderId="0" xfId="53" applyNumberFormat="1" applyFont="1" applyFill="1"/>
    <xf numFmtId="179" fontId="11" fillId="8" borderId="17" xfId="53" applyNumberFormat="1" applyFont="1" applyFill="1" applyBorder="1"/>
    <xf numFmtId="196" fontId="12" fillId="0" borderId="0" xfId="6" applyNumberFormat="1" applyFont="1" applyFill="1"/>
    <xf numFmtId="203" fontId="12" fillId="0" borderId="0" xfId="53" applyNumberFormat="1" applyFont="1" applyFill="1" applyBorder="1" applyAlignment="1">
      <alignment horizontal="right"/>
    </xf>
    <xf numFmtId="203" fontId="12" fillId="0" borderId="17" xfId="53" applyNumberFormat="1" applyFont="1" applyFill="1" applyBorder="1" applyAlignment="1">
      <alignment horizontal="right"/>
    </xf>
    <xf numFmtId="185" fontId="12" fillId="0" borderId="0" xfId="55" applyFont="1" applyAlignment="1">
      <alignment horizontal="right"/>
    </xf>
    <xf numFmtId="0" fontId="8" fillId="0" borderId="17" xfId="53" applyFont="1" applyFill="1" applyBorder="1"/>
    <xf numFmtId="179" fontId="9" fillId="0" borderId="17" xfId="53" applyNumberFormat="1" applyFont="1" applyFill="1" applyBorder="1"/>
    <xf numFmtId="0" fontId="9" fillId="0" borderId="17" xfId="53" applyFont="1" applyFill="1" applyBorder="1"/>
    <xf numFmtId="210" fontId="9" fillId="0" borderId="0" xfId="53" applyNumberFormat="1" applyFont="1" applyBorder="1"/>
    <xf numFmtId="210" fontId="9" fillId="0" borderId="17" xfId="53" applyNumberFormat="1" applyFont="1" applyFill="1" applyBorder="1"/>
    <xf numFmtId="207" fontId="9" fillId="0" borderId="0" xfId="53" applyNumberFormat="1" applyFont="1" applyBorder="1"/>
    <xf numFmtId="207" fontId="9" fillId="0" borderId="17" xfId="53" applyNumberFormat="1" applyFont="1" applyFill="1" applyBorder="1"/>
    <xf numFmtId="203" fontId="12" fillId="0" borderId="52" xfId="53" applyNumberFormat="1" applyFont="1" applyFill="1" applyBorder="1" applyAlignment="1">
      <alignment horizontal="right"/>
    </xf>
    <xf numFmtId="188" fontId="9" fillId="0" borderId="0" xfId="53" applyNumberFormat="1" applyFont="1" applyBorder="1"/>
    <xf numFmtId="188" fontId="9" fillId="0" borderId="0" xfId="53" applyNumberFormat="1" applyFont="1" applyFill="1"/>
    <xf numFmtId="188" fontId="8" fillId="0" borderId="0" xfId="53" applyNumberFormat="1" applyFont="1" applyFill="1"/>
    <xf numFmtId="0" fontId="8" fillId="0" borderId="0" xfId="0" applyFont="1"/>
    <xf numFmtId="201" fontId="10" fillId="0" borderId="0" xfId="53" applyNumberFormat="1" applyFont="1" applyFill="1"/>
    <xf numFmtId="196" fontId="10" fillId="0" borderId="0" xfId="6" applyNumberFormat="1" applyFont="1" applyFill="1" applyAlignment="1">
      <alignment horizontal="right"/>
    </xf>
    <xf numFmtId="214" fontId="9" fillId="0" borderId="0" xfId="53" applyNumberFormat="1" applyFont="1" applyFill="1"/>
    <xf numFmtId="196" fontId="12" fillId="0" borderId="0" xfId="55" applyNumberFormat="1" applyFont="1" applyAlignment="1">
      <alignment horizontal="right"/>
    </xf>
    <xf numFmtId="214" fontId="12" fillId="0" borderId="0" xfId="55" applyNumberFormat="1" applyFont="1" applyAlignment="1">
      <alignment horizontal="right"/>
    </xf>
    <xf numFmtId="196" fontId="8" fillId="7" borderId="35" xfId="6" applyNumberFormat="1" applyFont="1" applyFill="1" applyBorder="1"/>
    <xf numFmtId="190" fontId="8" fillId="7" borderId="10" xfId="55" applyNumberFormat="1" applyFont="1" applyFill="1" applyBorder="1" applyAlignment="1">
      <alignment horizontal="right" vertical="distributed"/>
    </xf>
    <xf numFmtId="190" fontId="8" fillId="7" borderId="44" xfId="55" applyNumberFormat="1" applyFont="1" applyFill="1" applyBorder="1" applyAlignment="1">
      <alignment horizontal="right" vertical="distributed"/>
    </xf>
    <xf numFmtId="196" fontId="8" fillId="7" borderId="36" xfId="6" applyNumberFormat="1" applyFont="1" applyFill="1" applyBorder="1"/>
    <xf numFmtId="190" fontId="8" fillId="7" borderId="0" xfId="55" applyNumberFormat="1" applyFont="1" applyFill="1" applyBorder="1" applyAlignment="1">
      <alignment horizontal="right" vertical="distributed"/>
    </xf>
    <xf numFmtId="190" fontId="8" fillId="7" borderId="46" xfId="55" applyNumberFormat="1" applyFont="1" applyFill="1" applyBorder="1" applyAlignment="1">
      <alignment horizontal="right" vertical="distributed"/>
    </xf>
    <xf numFmtId="196" fontId="8" fillId="7" borderId="37" xfId="6" applyNumberFormat="1" applyFont="1" applyFill="1" applyBorder="1"/>
    <xf numFmtId="190" fontId="8" fillId="7" borderId="14" xfId="55" applyNumberFormat="1" applyFont="1" applyFill="1" applyBorder="1" applyAlignment="1">
      <alignment horizontal="right" vertical="distributed"/>
    </xf>
    <xf numFmtId="190" fontId="10" fillId="8" borderId="51" xfId="55" applyNumberFormat="1" applyFont="1" applyFill="1" applyBorder="1" applyAlignment="1">
      <alignment horizontal="right" vertical="distributed"/>
    </xf>
    <xf numFmtId="190" fontId="8" fillId="7" borderId="38" xfId="55" applyNumberFormat="1" applyFont="1" applyFill="1" applyBorder="1" applyAlignment="1">
      <alignment horizontal="right" vertical="distributed"/>
    </xf>
    <xf numFmtId="190" fontId="8" fillId="7" borderId="39" xfId="55" applyNumberFormat="1" applyFont="1" applyFill="1" applyBorder="1" applyAlignment="1">
      <alignment horizontal="right" vertical="distributed"/>
    </xf>
    <xf numFmtId="190" fontId="8" fillId="7" borderId="40" xfId="55" applyNumberFormat="1" applyFont="1" applyFill="1" applyBorder="1" applyAlignment="1">
      <alignment horizontal="right" vertical="distributed"/>
    </xf>
    <xf numFmtId="0" fontId="25" fillId="5" borderId="0" xfId="53" applyFont="1" applyFill="1" applyBorder="1"/>
    <xf numFmtId="0" fontId="26" fillId="5" borderId="0" xfId="53" applyFont="1" applyFill="1" applyBorder="1"/>
    <xf numFmtId="0" fontId="27" fillId="5" borderId="0" xfId="53" applyFont="1" applyFill="1" applyBorder="1"/>
    <xf numFmtId="0" fontId="12" fillId="0" borderId="0" xfId="53" applyFont="1" applyBorder="1"/>
    <xf numFmtId="0" fontId="6" fillId="5" borderId="53" xfId="53" applyFont="1" applyFill="1" applyBorder="1" applyAlignment="1">
      <alignment horizontal="left"/>
    </xf>
    <xf numFmtId="0" fontId="6" fillId="5" borderId="54" xfId="53" applyFont="1" applyFill="1" applyBorder="1" applyAlignment="1">
      <alignment horizontal="left"/>
    </xf>
    <xf numFmtId="0" fontId="7" fillId="5" borderId="7" xfId="53" applyFont="1" applyFill="1" applyBorder="1" applyAlignment="1">
      <alignment horizontal="left"/>
    </xf>
    <xf numFmtId="0" fontId="18" fillId="5" borderId="0" xfId="53" applyFont="1" applyFill="1" applyBorder="1" applyAlignment="1">
      <alignment horizontal="centerContinuous"/>
    </xf>
    <xf numFmtId="0" fontId="7" fillId="5" borderId="0" xfId="53" applyFont="1" applyFill="1" applyBorder="1" applyAlignment="1">
      <alignment horizontal="centerContinuous"/>
    </xf>
    <xf numFmtId="0" fontId="8" fillId="0" borderId="31" xfId="53" applyFont="1" applyBorder="1"/>
    <xf numFmtId="0" fontId="8" fillId="0" borderId="32" xfId="53" applyFont="1" applyBorder="1"/>
    <xf numFmtId="0" fontId="9" fillId="0" borderId="32" xfId="53" applyFont="1" applyBorder="1" applyAlignment="1">
      <alignment horizontal="center"/>
    </xf>
    <xf numFmtId="0" fontId="9" fillId="0" borderId="5" xfId="53" applyFont="1" applyBorder="1" applyAlignment="1">
      <alignment horizontal="centerContinuous"/>
    </xf>
    <xf numFmtId="0" fontId="8" fillId="0" borderId="5" xfId="53" applyFont="1" applyBorder="1" applyAlignment="1">
      <alignment horizontal="centerContinuous"/>
    </xf>
    <xf numFmtId="0" fontId="8" fillId="0" borderId="34" xfId="53" applyFont="1" applyBorder="1"/>
    <xf numFmtId="0" fontId="9" fillId="0" borderId="32" xfId="53" applyFont="1" applyBorder="1"/>
    <xf numFmtId="0" fontId="8" fillId="0" borderId="7" xfId="53" applyFont="1" applyBorder="1"/>
    <xf numFmtId="180" fontId="9" fillId="0" borderId="14" xfId="53" applyNumberFormat="1" applyFont="1" applyBorder="1" applyAlignment="1">
      <alignment horizontal="center"/>
    </xf>
    <xf numFmtId="0" fontId="9" fillId="0" borderId="29" xfId="53" applyFont="1" applyBorder="1" applyAlignment="1">
      <alignment horizontal="center"/>
    </xf>
    <xf numFmtId="0" fontId="8" fillId="0" borderId="7" xfId="53" applyFont="1" applyBorder="1" applyAlignment="1"/>
    <xf numFmtId="190" fontId="8" fillId="0" borderId="0" xfId="55" applyNumberFormat="1" applyFont="1" applyBorder="1" applyAlignment="1">
      <alignment horizontal="right" vertical="distributed"/>
    </xf>
    <xf numFmtId="195" fontId="8" fillId="0" borderId="0" xfId="55" applyNumberFormat="1" applyFont="1" applyBorder="1" applyAlignment="1">
      <alignment horizontal="right" vertical="distributed"/>
    </xf>
    <xf numFmtId="212" fontId="8" fillId="0" borderId="18" xfId="53" applyNumberFormat="1" applyFont="1" applyBorder="1" applyAlignment="1">
      <alignment horizontal="center"/>
    </xf>
    <xf numFmtId="187" fontId="8" fillId="0" borderId="18" xfId="6" applyNumberFormat="1" applyFont="1" applyFill="1" applyBorder="1" applyAlignment="1">
      <alignment horizontal="center"/>
    </xf>
    <xf numFmtId="187" fontId="12" fillId="0" borderId="18" xfId="6" applyNumberFormat="1" applyFont="1" applyFill="1" applyBorder="1" applyAlignment="1">
      <alignment horizontal="center"/>
    </xf>
    <xf numFmtId="0" fontId="8" fillId="0" borderId="7" xfId="53" applyFont="1" applyFill="1" applyBorder="1"/>
    <xf numFmtId="190" fontId="8" fillId="0" borderId="14" xfId="55" applyNumberFormat="1" applyFont="1" applyBorder="1" applyAlignment="1">
      <alignment horizontal="right" vertical="distributed"/>
    </xf>
    <xf numFmtId="195" fontId="8" fillId="0" borderId="14" xfId="55" applyNumberFormat="1" applyFont="1" applyBorder="1" applyAlignment="1">
      <alignment horizontal="right" vertical="distributed"/>
    </xf>
    <xf numFmtId="0" fontId="9" fillId="7" borderId="24" xfId="53" applyFont="1" applyFill="1" applyBorder="1"/>
    <xf numFmtId="213" fontId="9" fillId="7" borderId="25" xfId="53" applyNumberFormat="1" applyFont="1" applyFill="1" applyBorder="1"/>
    <xf numFmtId="190" fontId="9" fillId="7" borderId="25" xfId="55" applyNumberFormat="1" applyFont="1" applyFill="1" applyBorder="1" applyAlignment="1">
      <alignment horizontal="right" vertical="distributed"/>
    </xf>
    <xf numFmtId="195" fontId="9" fillId="7" borderId="25" xfId="55" applyNumberFormat="1" applyFont="1" applyFill="1" applyBorder="1" applyAlignment="1">
      <alignment horizontal="right" vertical="distributed"/>
    </xf>
    <xf numFmtId="0" fontId="8" fillId="7" borderId="30" xfId="53" applyFont="1" applyFill="1" applyBorder="1"/>
    <xf numFmtId="0" fontId="9" fillId="7" borderId="25" xfId="53" applyFont="1" applyFill="1" applyBorder="1"/>
    <xf numFmtId="0" fontId="8" fillId="0" borderId="0" xfId="53" applyFont="1" applyBorder="1" applyAlignment="1">
      <alignment horizontal="right"/>
    </xf>
    <xf numFmtId="197" fontId="8" fillId="0" borderId="0" xfId="53" applyNumberFormat="1" applyFont="1" applyBorder="1"/>
    <xf numFmtId="0" fontId="6" fillId="5" borderId="25" xfId="53" applyFont="1" applyFill="1" applyBorder="1" applyAlignment="1"/>
    <xf numFmtId="0" fontId="9" fillId="7" borderId="14" xfId="53" applyFont="1" applyFill="1" applyBorder="1" applyAlignment="1">
      <alignment horizontal="center"/>
    </xf>
    <xf numFmtId="0" fontId="9" fillId="0" borderId="0" xfId="53" applyFont="1" applyFill="1" applyBorder="1" applyAlignment="1">
      <alignment horizontal="center"/>
    </xf>
    <xf numFmtId="180" fontId="11" fillId="8" borderId="15" xfId="53" applyNumberFormat="1" applyFont="1" applyFill="1" applyBorder="1" applyAlignment="1">
      <alignment horizontal="center"/>
    </xf>
    <xf numFmtId="0" fontId="11" fillId="8" borderId="14" xfId="54" applyFont="1" applyFill="1" applyBorder="1" applyAlignment="1">
      <alignment horizontal="center"/>
    </xf>
    <xf numFmtId="0" fontId="9" fillId="0" borderId="0" xfId="53" applyFont="1" applyBorder="1"/>
    <xf numFmtId="210" fontId="8" fillId="0" borderId="0" xfId="53" applyNumberFormat="1" applyFont="1" applyFill="1" applyBorder="1"/>
    <xf numFmtId="210" fontId="8" fillId="0" borderId="17" xfId="53" applyNumberFormat="1" applyFont="1" applyFill="1" applyBorder="1"/>
    <xf numFmtId="210" fontId="8" fillId="0" borderId="0" xfId="53" applyNumberFormat="1" applyFont="1" applyBorder="1"/>
    <xf numFmtId="186" fontId="8" fillId="0" borderId="17" xfId="53" applyNumberFormat="1" applyFont="1" applyFill="1" applyBorder="1"/>
    <xf numFmtId="0" fontId="8" fillId="0" borderId="17" xfId="53" applyFont="1" applyBorder="1"/>
    <xf numFmtId="207" fontId="8" fillId="0" borderId="0" xfId="53" applyNumberFormat="1" applyFont="1" applyBorder="1"/>
    <xf numFmtId="0" fontId="6" fillId="5" borderId="55" xfId="53" applyFont="1" applyFill="1" applyBorder="1" applyAlignment="1">
      <alignment horizontal="left"/>
    </xf>
    <xf numFmtId="0" fontId="18" fillId="5" borderId="56" xfId="53" applyFont="1" applyFill="1" applyBorder="1" applyAlignment="1">
      <alignment horizontal="centerContinuous"/>
    </xf>
    <xf numFmtId="0" fontId="18" fillId="5" borderId="57" xfId="53" applyFont="1" applyFill="1" applyBorder="1" applyAlignment="1">
      <alignment horizontal="centerContinuous"/>
    </xf>
    <xf numFmtId="0" fontId="8" fillId="0" borderId="32" xfId="53" applyFont="1" applyFill="1" applyBorder="1"/>
    <xf numFmtId="0" fontId="9" fillId="0" borderId="34" xfId="53" applyFont="1" applyFill="1" applyBorder="1" applyAlignment="1">
      <alignment horizontal="center"/>
    </xf>
    <xf numFmtId="189" fontId="8" fillId="0" borderId="34" xfId="53" applyNumberFormat="1" applyFont="1" applyFill="1" applyBorder="1"/>
    <xf numFmtId="0" fontId="8" fillId="0" borderId="31" xfId="53" applyFont="1" applyFill="1" applyBorder="1"/>
    <xf numFmtId="0" fontId="8" fillId="0" borderId="18" xfId="53" applyFont="1" applyFill="1" applyBorder="1" applyAlignment="1">
      <alignment horizontal="right"/>
    </xf>
    <xf numFmtId="0" fontId="9" fillId="0" borderId="29" xfId="53" applyFont="1" applyFill="1" applyBorder="1" applyAlignment="1">
      <alignment horizontal="center"/>
    </xf>
    <xf numFmtId="195" fontId="8" fillId="0" borderId="18" xfId="55" applyNumberFormat="1" applyFont="1" applyBorder="1" applyAlignment="1">
      <alignment horizontal="right" vertical="distributed"/>
    </xf>
    <xf numFmtId="190" fontId="8" fillId="0" borderId="18" xfId="55" applyNumberFormat="1" applyFont="1" applyBorder="1" applyAlignment="1">
      <alignment horizontal="right" vertical="distributed"/>
    </xf>
    <xf numFmtId="179" fontId="9" fillId="7" borderId="0" xfId="53" applyNumberFormat="1" applyFont="1" applyFill="1" applyBorder="1"/>
    <xf numFmtId="0" fontId="9" fillId="0" borderId="7" xfId="53" applyFont="1" applyBorder="1"/>
    <xf numFmtId="200" fontId="9" fillId="7" borderId="18" xfId="55" applyNumberFormat="1" applyFont="1" applyFill="1" applyBorder="1" applyAlignment="1">
      <alignment horizontal="right" vertical="distributed"/>
    </xf>
    <xf numFmtId="179" fontId="9" fillId="7" borderId="8" xfId="53" applyNumberFormat="1" applyFont="1" applyFill="1" applyBorder="1"/>
    <xf numFmtId="195" fontId="9" fillId="7" borderId="18" xfId="55" applyNumberFormat="1" applyFont="1" applyFill="1" applyBorder="1" applyAlignment="1">
      <alignment horizontal="right" vertical="distributed"/>
    </xf>
    <xf numFmtId="0" fontId="8" fillId="0" borderId="18" xfId="53" applyFont="1" applyBorder="1"/>
    <xf numFmtId="0" fontId="7" fillId="5" borderId="58" xfId="53" applyFont="1" applyFill="1" applyBorder="1" applyAlignment="1">
      <alignment horizontal="centerContinuous"/>
    </xf>
    <xf numFmtId="0" fontId="18" fillId="5" borderId="59" xfId="53" applyFont="1" applyFill="1" applyBorder="1" applyAlignment="1">
      <alignment horizontal="centerContinuous"/>
    </xf>
    <xf numFmtId="0" fontId="18" fillId="5" borderId="60" xfId="53" applyFont="1" applyFill="1" applyBorder="1" applyAlignment="1">
      <alignment horizontal="centerContinuous"/>
    </xf>
    <xf numFmtId="180" fontId="8" fillId="0" borderId="0" xfId="53" applyNumberFormat="1" applyFont="1" applyFill="1" applyBorder="1" applyAlignment="1">
      <alignment horizontal="left" indent="1"/>
    </xf>
    <xf numFmtId="195" fontId="9" fillId="0" borderId="0" xfId="55" applyNumberFormat="1" applyFont="1" applyBorder="1" applyAlignment="1">
      <alignment horizontal="right" vertical="distributed"/>
    </xf>
    <xf numFmtId="0" fontId="8" fillId="0" borderId="0" xfId="53" applyFont="1" applyFill="1" applyBorder="1" applyAlignment="1">
      <alignment horizontal="left" indent="1"/>
    </xf>
    <xf numFmtId="0" fontId="9" fillId="0" borderId="7" xfId="53" applyFont="1" applyFill="1" applyBorder="1"/>
    <xf numFmtId="197" fontId="9" fillId="0" borderId="0" xfId="53" applyNumberFormat="1" applyFont="1" applyFill="1" applyBorder="1"/>
    <xf numFmtId="188" fontId="8" fillId="0" borderId="14" xfId="53" applyNumberFormat="1" applyFont="1" applyFill="1" applyBorder="1"/>
    <xf numFmtId="188" fontId="8" fillId="0" borderId="29" xfId="53" applyNumberFormat="1" applyFont="1" applyFill="1" applyBorder="1"/>
    <xf numFmtId="190" fontId="9" fillId="7" borderId="30" xfId="55" applyNumberFormat="1" applyFont="1" applyFill="1" applyBorder="1" applyAlignment="1">
      <alignment horizontal="right" vertical="distributed"/>
    </xf>
    <xf numFmtId="0" fontId="8" fillId="0" borderId="25" xfId="53" applyFont="1" applyFill="1" applyBorder="1" applyAlignment="1">
      <alignment horizontal="left" indent="1"/>
    </xf>
    <xf numFmtId="186" fontId="8" fillId="0" borderId="25" xfId="53" applyNumberFormat="1" applyFont="1" applyFill="1" applyBorder="1"/>
    <xf numFmtId="195" fontId="9" fillId="0" borderId="25" xfId="55" applyNumberFormat="1" applyFont="1" applyBorder="1" applyAlignment="1">
      <alignment horizontal="right" vertical="distributed"/>
    </xf>
    <xf numFmtId="0" fontId="9" fillId="0" borderId="24" xfId="53" applyFont="1" applyFill="1" applyBorder="1"/>
    <xf numFmtId="0" fontId="8" fillId="0" borderId="25" xfId="53" applyFont="1" applyFill="1" applyBorder="1"/>
    <xf numFmtId="0" fontId="11" fillId="8" borderId="30" xfId="53" applyFont="1" applyFill="1" applyBorder="1" applyAlignment="1">
      <alignment horizontal="center"/>
    </xf>
    <xf numFmtId="186" fontId="0" fillId="0" borderId="0" xfId="0" applyNumberFormat="1"/>
    <xf numFmtId="203" fontId="8" fillId="0" borderId="0" xfId="53" applyNumberFormat="1" applyFont="1" applyFill="1" applyBorder="1" applyAlignment="1">
      <alignment horizontal="right"/>
    </xf>
    <xf numFmtId="180" fontId="9" fillId="0" borderId="14" xfId="53" applyNumberFormat="1" applyFont="1" applyBorder="1" applyAlignment="1" quotePrefix="1">
      <alignment horizontal="center"/>
    </xf>
    <xf numFmtId="0" fontId="9" fillId="0" borderId="14" xfId="53" applyFont="1" applyBorder="1" applyAlignment="1" quotePrefix="1">
      <alignment horizontal="center"/>
    </xf>
    <xf numFmtId="180" fontId="11" fillId="8" borderId="15" xfId="53" applyNumberFormat="1" applyFont="1" applyFill="1" applyBorder="1" applyAlignment="1" quotePrefix="1">
      <alignment horizontal="center"/>
    </xf>
    <xf numFmtId="180" fontId="9" fillId="0" borderId="15" xfId="53" applyNumberFormat="1" applyFont="1" applyFill="1" applyBorder="1" applyAlignment="1" quotePrefix="1">
      <alignment horizontal="center"/>
    </xf>
    <xf numFmtId="0" fontId="8" fillId="6" borderId="7" xfId="53" applyFont="1" applyFill="1" applyBorder="1" quotePrefix="1"/>
    <xf numFmtId="0" fontId="9" fillId="6" borderId="7" xfId="53" applyFont="1" applyFill="1" applyBorder="1" applyAlignment="1" quotePrefix="1">
      <alignment horizontal="left" indent="1"/>
    </xf>
    <xf numFmtId="0" fontId="9" fillId="6" borderId="24" xfId="53" applyFont="1" applyFill="1" applyBorder="1" applyAlignment="1" quotePrefix="1">
      <alignment horizontal="left" indent="1"/>
    </xf>
  </cellXfs>
  <cellStyles count="56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_7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_8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Normal_6" xfId="43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Normal_Financials" xfId="49"/>
    <cellStyle name="Accent6" xfId="50" builtinId="49"/>
    <cellStyle name="40% - Accent6" xfId="51" builtinId="51"/>
    <cellStyle name="60% - Accent6" xfId="52" builtinId="52"/>
    <cellStyle name="_x000a_386grabber=M" xfId="53"/>
    <cellStyle name="Normal_Ch01 Pics v2.2" xfId="54"/>
    <cellStyle name="Pctg" xfId="55"/>
  </cellStyles>
  <tableStyles count="0" defaultTableStyle="TableStyleMedium2" defaultPivotStyle="PivotStyleLight16"/>
  <colors>
    <mruColors>
      <color rgb="00FFA1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85"/>
  <sheetViews>
    <sheetView showGridLines="0" workbookViewId="0">
      <selection activeCell="B12" sqref="B12"/>
    </sheetView>
  </sheetViews>
  <sheetFormatPr defaultColWidth="8.81481481481481" defaultRowHeight="14.4"/>
  <cols>
    <col min="1" max="1" width="39.8148148148148" customWidth="1"/>
    <col min="2" max="16" width="12.1759259259259" customWidth="1"/>
  </cols>
  <sheetData>
    <row r="1" ht="31.2" spans="1:16">
      <c r="A1" s="374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ht="21" spans="1:16">
      <c r="A2" s="375" t="s">
        <v>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178" t="str">
        <f>+N14&amp;":"</f>
        <v>Financing Structure:</v>
      </c>
      <c r="O2" s="376"/>
      <c r="P2" s="212" t="str">
        <f>+CHOOSE(TS!$P$14,'A3'!C6,'A3'!D6,'A3'!E6,'A3'!F6,'A3'!G6)</f>
        <v>Structure 1</v>
      </c>
    </row>
    <row r="3" spans="1:16">
      <c r="A3" s="177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8" t="str">
        <f>+N15&amp;":"</f>
        <v>Operating Scenario:</v>
      </c>
      <c r="O3" s="175"/>
      <c r="P3" s="212" t="str">
        <f>+CHOOSE(TS!$P$15,'A1'!A8,'A1'!A9,'A1'!A10,'A1'!A11,'A1'!A12)</f>
        <v>   Base</v>
      </c>
    </row>
    <row r="4" ht="15.15" spans="1:16">
      <c r="A4" s="377"/>
      <c r="B4" s="20"/>
      <c r="C4" s="20"/>
      <c r="D4" s="20"/>
      <c r="E4" s="337"/>
      <c r="F4" s="337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ht="16.35" spans="1:16">
      <c r="A5" s="378" t="s">
        <v>3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422"/>
    </row>
    <row r="6" ht="15.15" spans="1:16">
      <c r="A6" s="380" t="s">
        <v>4</v>
      </c>
      <c r="B6" s="381"/>
      <c r="C6" s="382"/>
      <c r="D6" s="381"/>
      <c r="E6" s="381"/>
      <c r="F6" s="381"/>
      <c r="G6" s="382" t="s">
        <v>5</v>
      </c>
      <c r="H6" s="381"/>
      <c r="I6" s="381"/>
      <c r="J6" s="382"/>
      <c r="K6" s="382" t="s">
        <v>6</v>
      </c>
      <c r="L6" s="381"/>
      <c r="M6" s="381"/>
      <c r="N6" s="382" t="s">
        <v>7</v>
      </c>
      <c r="O6" s="423"/>
      <c r="P6" s="424"/>
    </row>
    <row r="7" spans="1:23">
      <c r="A7" s="383"/>
      <c r="B7" s="384"/>
      <c r="C7" s="385" t="s">
        <v>8</v>
      </c>
      <c r="D7" s="386" t="s">
        <v>9</v>
      </c>
      <c r="E7" s="387"/>
      <c r="F7" s="388"/>
      <c r="G7" s="383"/>
      <c r="H7" s="389"/>
      <c r="I7" s="425"/>
      <c r="J7" s="426" t="s">
        <v>8</v>
      </c>
      <c r="K7" s="383" t="s">
        <v>10</v>
      </c>
      <c r="L7" s="384"/>
      <c r="M7" s="427">
        <f>+'A3'!M5</f>
        <v>27.28</v>
      </c>
      <c r="N7" s="428" t="s">
        <v>11</v>
      </c>
      <c r="O7" s="96"/>
      <c r="P7" s="429">
        <f>+RA!J6</f>
        <v>2029</v>
      </c>
      <c r="V7" s="456"/>
      <c r="W7" s="456"/>
    </row>
    <row r="8" spans="1:16">
      <c r="A8" s="390"/>
      <c r="B8" s="290" t="s">
        <v>12</v>
      </c>
      <c r="C8" s="290" t="s">
        <v>13</v>
      </c>
      <c r="D8" s="458" t="str">
        <f>E24</f>
        <v>30/6/23</v>
      </c>
      <c r="E8" s="459" t="s">
        <v>14</v>
      </c>
      <c r="F8" s="392" t="s">
        <v>15</v>
      </c>
      <c r="G8" s="390"/>
      <c r="H8" s="20"/>
      <c r="I8" s="220" t="s">
        <v>12</v>
      </c>
      <c r="J8" s="430" t="s">
        <v>16</v>
      </c>
      <c r="K8" s="20" t="s">
        <v>17</v>
      </c>
      <c r="L8" s="20"/>
      <c r="M8" s="191">
        <f>+'A3'!M7</f>
        <v>143.79</v>
      </c>
      <c r="N8" s="399" t="s">
        <v>18</v>
      </c>
      <c r="O8" s="96"/>
      <c r="P8" s="431">
        <f>M18</f>
        <v>0</v>
      </c>
    </row>
    <row r="9" spans="1:23">
      <c r="A9" s="393" t="s">
        <v>19</v>
      </c>
      <c r="B9" s="225">
        <f>+CHOOSE(TS!$P$14,'A3'!C8,'A3'!D8,'A3'!E8,'A3'!F8,'A3'!G8)</f>
        <v>0</v>
      </c>
      <c r="C9" s="394">
        <f>IF(ISERROR(B9/$B$19),0,B9/$B$19)</f>
        <v>0</v>
      </c>
      <c r="D9" s="395">
        <f>+IF(ISERROR(B9/$E$31),0,B9/$E$31)</f>
        <v>0</v>
      </c>
      <c r="E9" s="395">
        <f>+D9</f>
        <v>0</v>
      </c>
      <c r="F9" s="396" t="str">
        <f>+IF(DS!B19*10000=0,"NA",DS!B19*10000)</f>
        <v>NA</v>
      </c>
      <c r="G9" s="390" t="s">
        <v>20</v>
      </c>
      <c r="H9" s="20"/>
      <c r="I9" s="225">
        <f>+CHOOSE(TS!$P$14,'A3'!C22,'A3'!D22,'A3'!E22,'A3'!F22,'A3'!G22)</f>
        <v>3922.5912</v>
      </c>
      <c r="J9" s="432">
        <f>IF(ISERROR(I9/$I$19),0,I9/$I$19)</f>
        <v>1</v>
      </c>
      <c r="K9" s="319" t="s">
        <v>21</v>
      </c>
      <c r="L9" s="319"/>
      <c r="M9" s="433">
        <f>+I9</f>
        <v>3922.5912</v>
      </c>
      <c r="N9" s="399" t="s">
        <v>22</v>
      </c>
      <c r="O9" s="96"/>
      <c r="P9" s="431">
        <f>+RA!D10</f>
        <v>0</v>
      </c>
      <c r="V9" s="334"/>
      <c r="W9" s="334"/>
    </row>
    <row r="10" spans="1:16">
      <c r="A10" s="390" t="s">
        <v>23</v>
      </c>
      <c r="B10" s="196">
        <f>+CHOOSE(TS!$P$14,'A3'!C9,'A3'!D9,'A3'!E9,'A3'!F9,'A3'!G9)</f>
        <v>0</v>
      </c>
      <c r="C10" s="394">
        <f t="shared" ref="C10:C18" si="0">IF(ISERROR(B10/$B$19),0,B10/$B$19)</f>
        <v>0</v>
      </c>
      <c r="D10" s="395">
        <f t="shared" ref="D10:D18" si="1">+IF(ISERROR(B10/$E$31),0,B10/$E$31)</f>
        <v>0</v>
      </c>
      <c r="E10" s="395">
        <f t="shared" ref="E10:E17" si="2">+E9+D10</f>
        <v>0</v>
      </c>
      <c r="F10" s="396" t="str">
        <f>+IF(DS!B35*10000=0,"NA",DS!B35*10000)</f>
        <v>NA</v>
      </c>
      <c r="G10" s="390" t="s">
        <v>24</v>
      </c>
      <c r="H10" s="20"/>
      <c r="I10" s="196">
        <f>+CHOOSE(TS!$P$14,'A3'!C23,'A3'!D23,'A3'!E23,'A3'!F23,'A3'!G23)</f>
        <v>0</v>
      </c>
      <c r="J10" s="432">
        <f>IF(ISERROR(I10/$I$19),0,I10/$I$19)</f>
        <v>0</v>
      </c>
      <c r="K10" s="96" t="s">
        <v>25</v>
      </c>
      <c r="L10" s="96"/>
      <c r="M10" s="191">
        <f>IF('A3'!$M$4=1,SUM('A3'!M10:M13),-SUM('A3'!M9:M13))</f>
        <v>0</v>
      </c>
      <c r="N10" s="434" t="s">
        <v>26</v>
      </c>
      <c r="O10" s="20"/>
      <c r="P10" s="435" t="str">
        <f ca="1">RA!J44</f>
        <v>NA</v>
      </c>
    </row>
    <row r="11" spans="1:16">
      <c r="A11" s="390" t="s">
        <v>27</v>
      </c>
      <c r="B11" s="196">
        <f>+CHOOSE(TS!$P$14,'A3'!C10,'A3'!D10,'A3'!E10,'A3'!F10,'A3'!G10)</f>
        <v>0</v>
      </c>
      <c r="C11" s="394">
        <f t="shared" si="0"/>
        <v>0</v>
      </c>
      <c r="D11" s="395">
        <f t="shared" si="1"/>
        <v>0</v>
      </c>
      <c r="E11" s="395">
        <f t="shared" si="2"/>
        <v>0</v>
      </c>
      <c r="F11" s="396" t="str">
        <f>+IF(DS!B49*10000=0,"NA",DS!B49*10000)</f>
        <v>NA</v>
      </c>
      <c r="G11" s="390" t="s">
        <v>28</v>
      </c>
      <c r="H11" s="20"/>
      <c r="I11" s="196">
        <f>+CHOOSE(TS!$P$14,'A3'!C24,'A3'!D24,'A3'!E24,'A3'!F24,'A3'!G24)</f>
        <v>0</v>
      </c>
      <c r="J11" s="432">
        <f>IF(ISERROR(I11/$I$19),0,I11/$I$19)</f>
        <v>0</v>
      </c>
      <c r="K11" s="319" t="s">
        <v>29</v>
      </c>
      <c r="L11" s="319"/>
      <c r="M11" s="436">
        <f>+M10+M9</f>
        <v>3922.5912</v>
      </c>
      <c r="N11" s="434" t="s">
        <v>30</v>
      </c>
      <c r="O11" s="20"/>
      <c r="P11" s="437" t="str">
        <f ca="1">RA!J29</f>
        <v>NM</v>
      </c>
    </row>
    <row r="12" ht="15.15" spans="1:16">
      <c r="A12" s="390" t="s">
        <v>31</v>
      </c>
      <c r="B12" s="196">
        <f>+CHOOSE(TS!$P$14,'A3'!C11,'A3'!D11,'A3'!E11,'A3'!F11,'A3'!G11)</f>
        <v>0</v>
      </c>
      <c r="C12" s="394">
        <f t="shared" si="0"/>
        <v>0</v>
      </c>
      <c r="D12" s="395">
        <f t="shared" si="1"/>
        <v>0</v>
      </c>
      <c r="E12" s="395">
        <f t="shared" si="2"/>
        <v>0</v>
      </c>
      <c r="F12" s="396" t="str">
        <f>+IF(DS!B64*10000=0,"NA",DS!B64*10000)</f>
        <v>NA</v>
      </c>
      <c r="G12" s="390" t="s">
        <v>32</v>
      </c>
      <c r="H12" s="20"/>
      <c r="I12" s="196">
        <f>+CHOOSE(TS!$P$14,'A3'!C25,'A3'!D25,'A3'!E25,'A3'!F25,'A3'!G25)</f>
        <v>0</v>
      </c>
      <c r="J12" s="432">
        <f>IF(ISERROR(I12/$I$19),0,I12/$I$19)</f>
        <v>0</v>
      </c>
      <c r="K12" s="20"/>
      <c r="L12" s="20"/>
      <c r="M12" s="20"/>
      <c r="N12" s="390"/>
      <c r="O12" s="20"/>
      <c r="P12" s="438"/>
    </row>
    <row r="13" ht="15.15" spans="1:16">
      <c r="A13" s="390" t="s">
        <v>33</v>
      </c>
      <c r="B13" s="196">
        <f>+CHOOSE(TS!$P$14,'A3'!C12,'A3'!D12,'A3'!E12,'A3'!F12,'A3'!G12)</f>
        <v>0</v>
      </c>
      <c r="C13" s="394">
        <f t="shared" si="0"/>
        <v>0</v>
      </c>
      <c r="D13" s="395">
        <f t="shared" si="1"/>
        <v>0</v>
      </c>
      <c r="E13" s="395">
        <f t="shared" si="2"/>
        <v>0</v>
      </c>
      <c r="F13" s="396" t="str">
        <f>+IF(DS!B94*10000=0,"NA",DS!B94*10000)</f>
        <v>NA</v>
      </c>
      <c r="G13" s="390" t="s">
        <v>34</v>
      </c>
      <c r="H13" s="20"/>
      <c r="I13" s="196">
        <f>+CHOOSE(TS!$P$14,'A3'!C26,'A3'!D26,'A3'!E26,'A3'!F26,'A3'!G26)</f>
        <v>0</v>
      </c>
      <c r="J13" s="432">
        <f>IF(ISERROR(I13/$I$19),0,I13/$I$19)</f>
        <v>0</v>
      </c>
      <c r="K13" s="439" t="s">
        <v>35</v>
      </c>
      <c r="L13" s="440"/>
      <c r="M13" s="440"/>
      <c r="N13" s="439" t="s">
        <v>36</v>
      </c>
      <c r="O13" s="440"/>
      <c r="P13" s="441"/>
    </row>
    <row r="14" spans="1:16">
      <c r="A14" s="390" t="s">
        <v>37</v>
      </c>
      <c r="B14" s="196">
        <f>+CHOOSE(TS!$P$14,'A3'!C13,'A3'!D13,'A3'!E13,'A3'!F13,'A3'!G13)</f>
        <v>0</v>
      </c>
      <c r="C14" s="394">
        <f t="shared" si="0"/>
        <v>0</v>
      </c>
      <c r="D14" s="395">
        <f t="shared" si="1"/>
        <v>0</v>
      </c>
      <c r="E14" s="395">
        <f t="shared" si="2"/>
        <v>0</v>
      </c>
      <c r="F14" s="397" t="str">
        <f>IF(DS!B107=0,"NA",DS!B107)</f>
        <v>NA</v>
      </c>
      <c r="G14" s="390"/>
      <c r="H14" s="96"/>
      <c r="I14" s="20"/>
      <c r="J14" s="438"/>
      <c r="K14" s="246" t="s">
        <v>38</v>
      </c>
      <c r="L14" s="96"/>
      <c r="M14" s="96"/>
      <c r="N14" s="434" t="s">
        <v>39</v>
      </c>
      <c r="O14" s="20"/>
      <c r="P14" s="85">
        <v>1</v>
      </c>
    </row>
    <row r="15" spans="1:16">
      <c r="A15" s="390" t="s">
        <v>40</v>
      </c>
      <c r="B15" s="196">
        <f>+CHOOSE(TS!$P$14,'A3'!C14,'A3'!D14,'A3'!E14,'A3'!F14,'A3'!G14)</f>
        <v>0</v>
      </c>
      <c r="C15" s="394">
        <f t="shared" si="0"/>
        <v>0</v>
      </c>
      <c r="D15" s="395">
        <f t="shared" si="1"/>
        <v>0</v>
      </c>
      <c r="E15" s="395">
        <f t="shared" si="2"/>
        <v>0</v>
      </c>
      <c r="F15" s="397" t="str">
        <f>IF(DS!B118=0,"NA",DS!B118)</f>
        <v>NA</v>
      </c>
      <c r="G15" s="390"/>
      <c r="H15" s="20"/>
      <c r="I15" s="20"/>
      <c r="J15" s="438"/>
      <c r="K15" s="442" t="str">
        <f>"LTM "&amp;E24</f>
        <v>LTM 30/6/23</v>
      </c>
      <c r="L15" s="225">
        <f>+E25</f>
        <v>0</v>
      </c>
      <c r="M15" s="443">
        <f>+IF(ISERROR(M11/L15),0,M11/L15)</f>
        <v>0</v>
      </c>
      <c r="N15" s="434" t="s">
        <v>41</v>
      </c>
      <c r="O15" s="20"/>
      <c r="P15" s="85">
        <v>1</v>
      </c>
    </row>
    <row r="16" spans="1:16">
      <c r="A16" s="390" t="s">
        <v>42</v>
      </c>
      <c r="B16" s="196">
        <f>+CHOOSE(TS!$P$14,'A3'!C15,'A3'!D15,'A3'!E15,'A3'!F15,'A3'!G15)</f>
        <v>3922.5912</v>
      </c>
      <c r="C16" s="394">
        <f t="shared" si="0"/>
        <v>1</v>
      </c>
      <c r="D16" s="395">
        <f t="shared" si="1"/>
        <v>0</v>
      </c>
      <c r="E16" s="395">
        <f t="shared" si="2"/>
        <v>0</v>
      </c>
      <c r="F16" s="398"/>
      <c r="G16" s="390"/>
      <c r="H16" s="20"/>
      <c r="I16" s="20"/>
      <c r="J16" s="438"/>
      <c r="K16" s="444" t="str">
        <f>F24&amp;"E"</f>
        <v>2024E</v>
      </c>
      <c r="L16" s="196">
        <f>+F25</f>
        <v>0</v>
      </c>
      <c r="M16" s="443">
        <f>+IF(ISERROR(M11/L16),0,M11/L16)</f>
        <v>0</v>
      </c>
      <c r="N16" s="445" t="s">
        <v>43</v>
      </c>
      <c r="O16" s="20"/>
      <c r="P16" s="85">
        <v>0</v>
      </c>
    </row>
    <row r="17" spans="1:16">
      <c r="A17" s="399" t="s">
        <v>44</v>
      </c>
      <c r="B17" s="196">
        <f>+CHOOSE(TS!$P$14,'A3'!C16,'A3'!D16,'A3'!E16,'A3'!F16,'A3'!G16)</f>
        <v>0</v>
      </c>
      <c r="C17" s="394">
        <f t="shared" si="0"/>
        <v>0</v>
      </c>
      <c r="D17" s="395">
        <f t="shared" si="1"/>
        <v>0</v>
      </c>
      <c r="E17" s="395">
        <f t="shared" si="2"/>
        <v>0</v>
      </c>
      <c r="F17" s="398"/>
      <c r="G17" s="390"/>
      <c r="H17" s="20"/>
      <c r="I17" s="20"/>
      <c r="J17" s="438"/>
      <c r="K17" s="246" t="s">
        <v>45</v>
      </c>
      <c r="L17" s="96"/>
      <c r="M17" s="446"/>
      <c r="N17" s="445" t="s">
        <v>46</v>
      </c>
      <c r="O17" s="20"/>
      <c r="P17" s="85">
        <v>1</v>
      </c>
    </row>
    <row r="18" spans="1:16">
      <c r="A18" s="390" t="s">
        <v>47</v>
      </c>
      <c r="B18" s="191">
        <f>+CHOOSE(TS!$P$14,'A3'!C17,'A3'!D17,'A3'!E17,'A3'!F17,'A3'!G17)</f>
        <v>0</v>
      </c>
      <c r="C18" s="400">
        <f t="shared" si="0"/>
        <v>0</v>
      </c>
      <c r="D18" s="401">
        <f t="shared" si="1"/>
        <v>0</v>
      </c>
      <c r="E18" s="401">
        <f>+E16+D18</f>
        <v>0</v>
      </c>
      <c r="F18" s="398"/>
      <c r="G18" s="390"/>
      <c r="H18" s="20"/>
      <c r="I18" s="447" t="s">
        <v>48</v>
      </c>
      <c r="J18" s="448" t="s">
        <v>48</v>
      </c>
      <c r="K18" s="442" t="str">
        <f>"LTM "&amp;E24</f>
        <v>LTM 30/6/23</v>
      </c>
      <c r="L18" s="225">
        <f>+E31</f>
        <v>0</v>
      </c>
      <c r="M18" s="443">
        <f>+IF(ISERROR(M11/L18),0,M11/L18)</f>
        <v>0</v>
      </c>
      <c r="N18" s="445" t="s">
        <v>49</v>
      </c>
      <c r="O18" s="20"/>
      <c r="P18" s="85">
        <v>1</v>
      </c>
    </row>
    <row r="19" ht="15.15" spans="1:16">
      <c r="A19" s="402" t="s">
        <v>50</v>
      </c>
      <c r="B19" s="403">
        <f>SUM(B9:B18)</f>
        <v>3922.5912</v>
      </c>
      <c r="C19" s="404">
        <f>SUM(C9:C18)</f>
        <v>1</v>
      </c>
      <c r="D19" s="405">
        <f>SUM(D9:D18)</f>
        <v>0</v>
      </c>
      <c r="E19" s="405">
        <f>+IF(ISERROR(B19/E31),0,B19/E31)</f>
        <v>0</v>
      </c>
      <c r="F19" s="406"/>
      <c r="G19" s="402" t="s">
        <v>51</v>
      </c>
      <c r="H19" s="407"/>
      <c r="I19" s="403">
        <f>SUM(I9:I18)</f>
        <v>3922.5912</v>
      </c>
      <c r="J19" s="449">
        <f>SUM(J9:J18)</f>
        <v>1</v>
      </c>
      <c r="K19" s="450" t="str">
        <f>F24&amp;"E"</f>
        <v>2024E</v>
      </c>
      <c r="L19" s="451">
        <f>+F31</f>
        <v>0</v>
      </c>
      <c r="M19" s="452">
        <f>+IF(ISERROR(M11/L19),0,M11/L19)</f>
        <v>0</v>
      </c>
      <c r="N19" s="453" t="s">
        <v>52</v>
      </c>
      <c r="O19" s="454"/>
      <c r="P19" s="455">
        <v>1</v>
      </c>
    </row>
    <row r="20" spans="1:16">
      <c r="A20" s="20"/>
      <c r="B20" s="20"/>
      <c r="C20" s="20"/>
      <c r="D20" s="408"/>
      <c r="E20" s="41"/>
      <c r="F20" s="409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ht="16.35" spans="1:16">
      <c r="A21" s="410" t="s">
        <v>53</v>
      </c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</row>
    <row r="22" spans="1:16">
      <c r="A22" s="20"/>
      <c r="B22" s="411" t="s">
        <v>54</v>
      </c>
      <c r="C22" s="411"/>
      <c r="D22" s="411"/>
      <c r="E22" s="411"/>
      <c r="F22" s="412"/>
      <c r="G22" s="216" t="s">
        <v>55</v>
      </c>
      <c r="H22" s="217"/>
      <c r="I22" s="217"/>
      <c r="J22" s="217"/>
      <c r="K22" s="217"/>
      <c r="L22" s="217"/>
      <c r="M22" s="217"/>
      <c r="N22" s="217"/>
      <c r="O22" s="217"/>
      <c r="P22" s="216"/>
    </row>
    <row r="23" spans="1:16">
      <c r="A23" s="20"/>
      <c r="B23" s="20"/>
      <c r="C23" s="20"/>
      <c r="D23" s="20"/>
      <c r="E23" s="336" t="s">
        <v>56</v>
      </c>
      <c r="F23" s="337" t="s">
        <v>57</v>
      </c>
      <c r="G23" s="106">
        <v>1</v>
      </c>
      <c r="H23" s="106">
        <v>2</v>
      </c>
      <c r="I23" s="106">
        <v>3</v>
      </c>
      <c r="J23" s="106">
        <v>4</v>
      </c>
      <c r="K23" s="106">
        <v>5</v>
      </c>
      <c r="L23" s="106">
        <v>6</v>
      </c>
      <c r="M23" s="106">
        <v>7</v>
      </c>
      <c r="N23" s="106">
        <v>8</v>
      </c>
      <c r="O23" s="106">
        <v>9</v>
      </c>
      <c r="P23" s="106">
        <v>10</v>
      </c>
    </row>
    <row r="24" spans="1:16">
      <c r="A24" s="20"/>
      <c r="B24" s="107">
        <f>+C24-1</f>
        <v>2021</v>
      </c>
      <c r="C24" s="107">
        <f>+D24-1</f>
        <v>2022</v>
      </c>
      <c r="D24" s="107">
        <f>+F24-1</f>
        <v>2023</v>
      </c>
      <c r="E24" s="460" t="s">
        <v>58</v>
      </c>
      <c r="F24" s="414">
        <v>2024</v>
      </c>
      <c r="G24" s="107">
        <f>+F24+1</f>
        <v>2025</v>
      </c>
      <c r="H24" s="107">
        <f t="shared" ref="H24:P24" si="3">+G24+1</f>
        <v>2026</v>
      </c>
      <c r="I24" s="107">
        <f t="shared" si="3"/>
        <v>2027</v>
      </c>
      <c r="J24" s="107">
        <f t="shared" si="3"/>
        <v>2028</v>
      </c>
      <c r="K24" s="107">
        <f t="shared" si="3"/>
        <v>2029</v>
      </c>
      <c r="L24" s="107">
        <f t="shared" si="3"/>
        <v>2030</v>
      </c>
      <c r="M24" s="107">
        <f t="shared" si="3"/>
        <v>2031</v>
      </c>
      <c r="N24" s="107">
        <f t="shared" si="3"/>
        <v>2032</v>
      </c>
      <c r="O24" s="107">
        <f t="shared" si="3"/>
        <v>2033</v>
      </c>
      <c r="P24" s="107">
        <f t="shared" si="3"/>
        <v>2034</v>
      </c>
    </row>
    <row r="25" spans="1:16">
      <c r="A25" s="415" t="s">
        <v>59</v>
      </c>
      <c r="B25" s="298">
        <f>+IS!B7</f>
        <v>0</v>
      </c>
      <c r="C25" s="298">
        <f>+IS!C7</f>
        <v>0</v>
      </c>
      <c r="D25" s="298">
        <f>+IS!D7</f>
        <v>0</v>
      </c>
      <c r="E25" s="346">
        <f>+IS!E7</f>
        <v>0</v>
      </c>
      <c r="F25" s="298">
        <f>+IS!F7</f>
        <v>0</v>
      </c>
      <c r="G25" s="298">
        <f>+IS!G7</f>
        <v>0</v>
      </c>
      <c r="H25" s="298">
        <f>+IS!H7</f>
        <v>0</v>
      </c>
      <c r="I25" s="298">
        <f>+IS!I7</f>
        <v>0</v>
      </c>
      <c r="J25" s="298">
        <f>+IS!J7</f>
        <v>0</v>
      </c>
      <c r="K25" s="298">
        <f>+IS!K7</f>
        <v>0</v>
      </c>
      <c r="L25" s="298">
        <f>+IS!L7</f>
        <v>0</v>
      </c>
      <c r="M25" s="298">
        <f>+IS!M7</f>
        <v>0</v>
      </c>
      <c r="N25" s="298">
        <f>+IS!N7</f>
        <v>0</v>
      </c>
      <c r="O25" s="298">
        <f>+IS!O7</f>
        <v>0</v>
      </c>
      <c r="P25" s="298">
        <f>+IS!P7</f>
        <v>0</v>
      </c>
    </row>
    <row r="26" spans="1:16">
      <c r="A26" s="377" t="s">
        <v>60</v>
      </c>
      <c r="B26" s="342" t="str">
        <f>+IS!B8</f>
        <v>NA</v>
      </c>
      <c r="C26" s="342">
        <f>+IS!C8</f>
        <v>0</v>
      </c>
      <c r="D26" s="342">
        <f>+IS!D8</f>
        <v>0</v>
      </c>
      <c r="E26" s="343">
        <f>+IS!E8</f>
        <v>0</v>
      </c>
      <c r="F26" s="342">
        <f>+IS!F8</f>
        <v>0</v>
      </c>
      <c r="G26" s="342">
        <f>+IS!G8</f>
        <v>0</v>
      </c>
      <c r="H26" s="342">
        <f>+IS!H8</f>
        <v>0</v>
      </c>
      <c r="I26" s="342">
        <f>+IS!I8</f>
        <v>0</v>
      </c>
      <c r="J26" s="342">
        <f>+IS!J8</f>
        <v>0</v>
      </c>
      <c r="K26" s="342">
        <f>+IS!K8</f>
        <v>0</v>
      </c>
      <c r="L26" s="342">
        <f>+IS!L8</f>
        <v>0</v>
      </c>
      <c r="M26" s="342">
        <f>+IS!M8</f>
        <v>0</v>
      </c>
      <c r="N26" s="342">
        <f>+IS!N8</f>
        <v>0</v>
      </c>
      <c r="O26" s="342">
        <f>+IS!O8</f>
        <v>0</v>
      </c>
      <c r="P26" s="342">
        <f>+IS!P8</f>
        <v>0</v>
      </c>
    </row>
    <row r="27" spans="1:16">
      <c r="A27" s="20"/>
      <c r="B27" s="20"/>
      <c r="C27" s="20"/>
      <c r="D27" s="20"/>
      <c r="E27" s="345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>
      <c r="A28" s="415" t="s">
        <v>61</v>
      </c>
      <c r="B28" s="298">
        <f>+IS!B11</f>
        <v>0</v>
      </c>
      <c r="C28" s="298">
        <f>+IS!C11</f>
        <v>0</v>
      </c>
      <c r="D28" s="298">
        <f>+IS!D11</f>
        <v>0</v>
      </c>
      <c r="E28" s="346">
        <f>+IS!E11</f>
        <v>0</v>
      </c>
      <c r="F28" s="298">
        <f>+IS!F11</f>
        <v>0</v>
      </c>
      <c r="G28" s="298">
        <f>+IS!G11</f>
        <v>0</v>
      </c>
      <c r="H28" s="298">
        <f>+IS!H11</f>
        <v>0</v>
      </c>
      <c r="I28" s="298">
        <f>+IS!I11</f>
        <v>0</v>
      </c>
      <c r="J28" s="298">
        <f>+IS!J11</f>
        <v>0</v>
      </c>
      <c r="K28" s="298">
        <f>+IS!K11</f>
        <v>0</v>
      </c>
      <c r="L28" s="298">
        <f>+IS!L11</f>
        <v>0</v>
      </c>
      <c r="M28" s="298">
        <f>+IS!M11</f>
        <v>0</v>
      </c>
      <c r="N28" s="298">
        <f>+IS!N11</f>
        <v>0</v>
      </c>
      <c r="O28" s="298">
        <f>+IS!O11</f>
        <v>0</v>
      </c>
      <c r="P28" s="298">
        <f>+IS!P11</f>
        <v>0</v>
      </c>
    </row>
    <row r="29" spans="1:16">
      <c r="A29" s="377" t="s">
        <v>62</v>
      </c>
      <c r="B29" s="342">
        <f>+IS!B12</f>
        <v>0</v>
      </c>
      <c r="C29" s="342">
        <f>+IS!C12</f>
        <v>0</v>
      </c>
      <c r="D29" s="342">
        <f>+IS!D12</f>
        <v>0</v>
      </c>
      <c r="E29" s="343">
        <f>+IS!E12</f>
        <v>0</v>
      </c>
      <c r="F29" s="342">
        <f>+IS!F12</f>
        <v>0</v>
      </c>
      <c r="G29" s="342">
        <f>+IS!G12</f>
        <v>0</v>
      </c>
      <c r="H29" s="342">
        <f>+IS!H12</f>
        <v>0</v>
      </c>
      <c r="I29" s="342">
        <f>+IS!I12</f>
        <v>0</v>
      </c>
      <c r="J29" s="342">
        <f>+IS!J12</f>
        <v>0</v>
      </c>
      <c r="K29" s="342">
        <f>+IS!K12</f>
        <v>0</v>
      </c>
      <c r="L29" s="342">
        <f>+IS!L12</f>
        <v>0</v>
      </c>
      <c r="M29" s="342">
        <f>+IS!M12</f>
        <v>0</v>
      </c>
      <c r="N29" s="342">
        <f>+IS!N12</f>
        <v>0</v>
      </c>
      <c r="O29" s="342">
        <f>+IS!O12</f>
        <v>0</v>
      </c>
      <c r="P29" s="342">
        <f>+IS!P12</f>
        <v>0</v>
      </c>
    </row>
    <row r="30" spans="1:16">
      <c r="A30" s="20"/>
      <c r="B30" s="20"/>
      <c r="C30" s="20"/>
      <c r="D30" s="20"/>
      <c r="E30" s="345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>
      <c r="A31" s="415" t="s">
        <v>63</v>
      </c>
      <c r="B31" s="298">
        <f>+IS!B18</f>
        <v>0</v>
      </c>
      <c r="C31" s="298">
        <f>+IS!C18</f>
        <v>0</v>
      </c>
      <c r="D31" s="298">
        <f>+IS!D18</f>
        <v>0</v>
      </c>
      <c r="E31" s="346">
        <f>+IS!E18</f>
        <v>0</v>
      </c>
      <c r="F31" s="298">
        <f>+IS!F18</f>
        <v>0</v>
      </c>
      <c r="G31" s="298">
        <f>+IS!G18</f>
        <v>0</v>
      </c>
      <c r="H31" s="298">
        <f>+IS!H18</f>
        <v>0</v>
      </c>
      <c r="I31" s="298">
        <f>+IS!I18</f>
        <v>0</v>
      </c>
      <c r="J31" s="298">
        <f>+IS!J18</f>
        <v>0</v>
      </c>
      <c r="K31" s="298">
        <f>+IS!K18</f>
        <v>0</v>
      </c>
      <c r="L31" s="298">
        <f>+IS!L18</f>
        <v>0</v>
      </c>
      <c r="M31" s="298">
        <f>+IS!M18</f>
        <v>0</v>
      </c>
      <c r="N31" s="298">
        <f>+IS!N18</f>
        <v>0</v>
      </c>
      <c r="O31" s="298">
        <f>+IS!O18</f>
        <v>0</v>
      </c>
      <c r="P31" s="298">
        <f>+IS!P18</f>
        <v>0</v>
      </c>
    </row>
    <row r="32" spans="1:16">
      <c r="A32" s="377" t="s">
        <v>62</v>
      </c>
      <c r="B32" s="342">
        <f>+IS!B19</f>
        <v>0</v>
      </c>
      <c r="C32" s="342">
        <f>+IS!C19</f>
        <v>0</v>
      </c>
      <c r="D32" s="342">
        <f>+IS!D19</f>
        <v>0</v>
      </c>
      <c r="E32" s="343">
        <f>+IS!E19</f>
        <v>0</v>
      </c>
      <c r="F32" s="342">
        <f>+IS!F19</f>
        <v>0</v>
      </c>
      <c r="G32" s="342">
        <f>+IS!G19</f>
        <v>0</v>
      </c>
      <c r="H32" s="342">
        <f>+IS!H19</f>
        <v>0</v>
      </c>
      <c r="I32" s="342">
        <f>+IS!I19</f>
        <v>0</v>
      </c>
      <c r="J32" s="342">
        <f>+IS!J19</f>
        <v>0</v>
      </c>
      <c r="K32" s="342">
        <f>+IS!K19</f>
        <v>0</v>
      </c>
      <c r="L32" s="342">
        <f>+IS!L19</f>
        <v>0</v>
      </c>
      <c r="M32" s="342">
        <f>+IS!M19</f>
        <v>0</v>
      </c>
      <c r="N32" s="342">
        <f>+IS!N19</f>
        <v>0</v>
      </c>
      <c r="O32" s="342">
        <f>+IS!O19</f>
        <v>0</v>
      </c>
      <c r="P32" s="342">
        <f>+IS!P19</f>
        <v>0</v>
      </c>
    </row>
    <row r="33" spans="1:16">
      <c r="A33" s="20"/>
      <c r="B33" s="416"/>
      <c r="C33" s="416"/>
      <c r="D33" s="416"/>
      <c r="E33" s="417"/>
      <c r="F33" s="416"/>
      <c r="G33" s="416"/>
      <c r="H33" s="418"/>
      <c r="I33" s="418"/>
      <c r="J33" s="418"/>
      <c r="K33" s="418"/>
      <c r="L33" s="418"/>
      <c r="M33" s="418"/>
      <c r="N33" s="418"/>
      <c r="O33" s="418"/>
      <c r="P33" s="418"/>
    </row>
    <row r="34" spans="1:16">
      <c r="A34" s="20" t="s">
        <v>64</v>
      </c>
      <c r="B34" s="294">
        <f>B25*'A1'!C57</f>
        <v>0</v>
      </c>
      <c r="C34" s="294">
        <f>C25*'A1'!D57</f>
        <v>0</v>
      </c>
      <c r="D34" s="294">
        <f>D25*'A1'!E57</f>
        <v>0</v>
      </c>
      <c r="E34" s="38">
        <v>0</v>
      </c>
      <c r="F34" s="208">
        <f>-F25*'A1'!C57</f>
        <v>0</v>
      </c>
      <c r="G34" s="208">
        <f>CF!B25</f>
        <v>0</v>
      </c>
      <c r="H34" s="208">
        <f>CF!C25</f>
        <v>0</v>
      </c>
      <c r="I34" s="208">
        <f>CF!D25</f>
        <v>0</v>
      </c>
      <c r="J34" s="208">
        <f>CF!E25</f>
        <v>0</v>
      </c>
      <c r="K34" s="208">
        <f>CF!F25</f>
        <v>0</v>
      </c>
      <c r="L34" s="208">
        <f>CF!G25</f>
        <v>0</v>
      </c>
      <c r="M34" s="208">
        <f>CF!H25</f>
        <v>0</v>
      </c>
      <c r="N34" s="208">
        <f>CF!I25</f>
        <v>0</v>
      </c>
      <c r="O34" s="208">
        <f>CF!J25</f>
        <v>0</v>
      </c>
      <c r="P34" s="208">
        <f>CF!K25</f>
        <v>0</v>
      </c>
    </row>
    <row r="35" spans="1:16">
      <c r="A35" s="377" t="s">
        <v>65</v>
      </c>
      <c r="B35" s="342">
        <f>+IF(ISERROR(B34/B25),0,B34/B25)</f>
        <v>0</v>
      </c>
      <c r="C35" s="342">
        <f t="shared" ref="C35:P35" si="4">+IF(ISERROR(C34/C25),0,C34/C25)</f>
        <v>0</v>
      </c>
      <c r="D35" s="342">
        <f t="shared" si="4"/>
        <v>0</v>
      </c>
      <c r="E35" s="343">
        <f t="shared" si="4"/>
        <v>0</v>
      </c>
      <c r="F35" s="342">
        <f t="shared" si="4"/>
        <v>0</v>
      </c>
      <c r="G35" s="342">
        <f t="shared" si="4"/>
        <v>0</v>
      </c>
      <c r="H35" s="342">
        <f t="shared" si="4"/>
        <v>0</v>
      </c>
      <c r="I35" s="342">
        <f t="shared" si="4"/>
        <v>0</v>
      </c>
      <c r="J35" s="342">
        <f t="shared" si="4"/>
        <v>0</v>
      </c>
      <c r="K35" s="342">
        <f t="shared" si="4"/>
        <v>0</v>
      </c>
      <c r="L35" s="342">
        <f t="shared" si="4"/>
        <v>0</v>
      </c>
      <c r="M35" s="342">
        <f t="shared" si="4"/>
        <v>0</v>
      </c>
      <c r="N35" s="342">
        <f t="shared" si="4"/>
        <v>0</v>
      </c>
      <c r="O35" s="342">
        <f t="shared" si="4"/>
        <v>0</v>
      </c>
      <c r="P35" s="342">
        <f t="shared" si="4"/>
        <v>0</v>
      </c>
    </row>
    <row r="36" spans="1:16">
      <c r="A36" s="20"/>
      <c r="B36" s="96"/>
      <c r="C36" s="96"/>
      <c r="D36" s="96"/>
      <c r="E36" s="345"/>
      <c r="F36" s="96"/>
      <c r="G36" s="96"/>
      <c r="H36" s="20"/>
      <c r="I36" s="20"/>
      <c r="J36" s="20"/>
      <c r="K36" s="20"/>
      <c r="L36" s="20"/>
      <c r="M36" s="20"/>
      <c r="N36" s="20"/>
      <c r="O36" s="20"/>
      <c r="P36" s="20"/>
    </row>
    <row r="37" spans="1:16">
      <c r="A37" s="20" t="s">
        <v>66</v>
      </c>
      <c r="B37" s="247"/>
      <c r="C37" s="247"/>
      <c r="D37" s="247"/>
      <c r="E37" s="419"/>
      <c r="F37" s="208" t="e">
        <f ca="1">IS!F37</f>
        <v>#VALUE!</v>
      </c>
      <c r="G37" s="208" t="e">
        <f ca="1">IS!G37</f>
        <v>#VALUE!</v>
      </c>
      <c r="H37" s="208" t="e">
        <f ca="1">IS!H37</f>
        <v>#VALUE!</v>
      </c>
      <c r="I37" s="208" t="e">
        <f ca="1">IS!I37</f>
        <v>#VALUE!</v>
      </c>
      <c r="J37" s="208" t="e">
        <f ca="1">IS!J37</f>
        <v>#VALUE!</v>
      </c>
      <c r="K37" s="208" t="e">
        <f ca="1">IS!K37</f>
        <v>#VALUE!</v>
      </c>
      <c r="L37" s="208" t="e">
        <f ca="1">IS!L37</f>
        <v>#VALUE!</v>
      </c>
      <c r="M37" s="208" t="e">
        <f ca="1">IS!M37</f>
        <v>#VALUE!</v>
      </c>
      <c r="N37" s="208" t="e">
        <f ca="1">IS!N37</f>
        <v>#VALUE!</v>
      </c>
      <c r="O37" s="208" t="e">
        <f ca="1">IS!O37</f>
        <v>#VALUE!</v>
      </c>
      <c r="P37" s="208" t="e">
        <f ca="1">IS!P37</f>
        <v>#VALUE!</v>
      </c>
    </row>
    <row r="38" spans="1:16">
      <c r="A38" s="20" t="s">
        <v>67</v>
      </c>
      <c r="B38" s="247"/>
      <c r="C38" s="247"/>
      <c r="D38" s="247"/>
      <c r="E38" s="419"/>
      <c r="F38" s="208" t="e">
        <f ca="1">IS!F39</f>
        <v>#VALUE!</v>
      </c>
      <c r="G38" s="208" t="e">
        <f ca="1">IS!G39</f>
        <v>#VALUE!</v>
      </c>
      <c r="H38" s="208" t="e">
        <f ca="1">IS!H39</f>
        <v>#VALUE!</v>
      </c>
      <c r="I38" s="208" t="e">
        <f ca="1">IS!I39</f>
        <v>#VALUE!</v>
      </c>
      <c r="J38" s="208" t="e">
        <f ca="1">IS!J39</f>
        <v>#VALUE!</v>
      </c>
      <c r="K38" s="208" t="e">
        <f ca="1">IS!K39</f>
        <v>#VALUE!</v>
      </c>
      <c r="L38" s="208" t="e">
        <f ca="1">IS!L39</f>
        <v>#VALUE!</v>
      </c>
      <c r="M38" s="208" t="e">
        <f ca="1">IS!M39</f>
        <v>#VALUE!</v>
      </c>
      <c r="N38" s="208" t="e">
        <f ca="1">IS!N39</f>
        <v>#VALUE!</v>
      </c>
      <c r="O38" s="208" t="e">
        <f ca="1">IS!O39</f>
        <v>#VALUE!</v>
      </c>
      <c r="P38" s="208" t="e">
        <f ca="1">IS!P39</f>
        <v>#VALUE!</v>
      </c>
    </row>
    <row r="39" spans="1:16">
      <c r="A39" s="285"/>
      <c r="B39" s="285"/>
      <c r="C39" s="285"/>
      <c r="D39" s="285"/>
      <c r="E39" s="420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</row>
    <row r="40" spans="1:16">
      <c r="A40" s="415" t="s">
        <v>68</v>
      </c>
      <c r="B40" s="285"/>
      <c r="C40" s="285"/>
      <c r="D40" s="285"/>
      <c r="E40" s="420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</row>
    <row r="41" spans="1:16">
      <c r="A41" s="285" t="s">
        <v>63</v>
      </c>
      <c r="B41" s="285"/>
      <c r="C41" s="285"/>
      <c r="D41" s="285"/>
      <c r="E41" s="420"/>
      <c r="F41" s="285"/>
      <c r="G41" s="188">
        <f>IS!G18</f>
        <v>0</v>
      </c>
      <c r="H41" s="188">
        <f>IS!H18</f>
        <v>0</v>
      </c>
      <c r="I41" s="188">
        <f>IS!I18</f>
        <v>0</v>
      </c>
      <c r="J41" s="188">
        <f>IS!J18</f>
        <v>0</v>
      </c>
      <c r="K41" s="188">
        <f>IS!K18</f>
        <v>0</v>
      </c>
      <c r="L41" s="188">
        <f>IS!L18</f>
        <v>0</v>
      </c>
      <c r="M41" s="188">
        <f>IS!M18</f>
        <v>0</v>
      </c>
      <c r="N41" s="188">
        <f>IS!N18</f>
        <v>0</v>
      </c>
      <c r="O41" s="188">
        <f>IS!O18</f>
        <v>0</v>
      </c>
      <c r="P41" s="188">
        <f>IS!P18</f>
        <v>0</v>
      </c>
    </row>
    <row r="42" spans="1:16">
      <c r="A42" s="20" t="s">
        <v>69</v>
      </c>
      <c r="B42" s="285"/>
      <c r="C42" s="285"/>
      <c r="D42" s="285"/>
      <c r="E42" s="420"/>
      <c r="F42" s="285"/>
      <c r="G42" s="208" t="e">
        <f ca="1">-IS!G37</f>
        <v>#VALUE!</v>
      </c>
      <c r="H42" s="208" t="e">
        <f ca="1">-IS!H37</f>
        <v>#VALUE!</v>
      </c>
      <c r="I42" s="208" t="e">
        <f ca="1">-IS!I37</f>
        <v>#VALUE!</v>
      </c>
      <c r="J42" s="208" t="e">
        <f ca="1">-IS!J37</f>
        <v>#VALUE!</v>
      </c>
      <c r="K42" s="208" t="e">
        <f ca="1">-IS!K37</f>
        <v>#VALUE!</v>
      </c>
      <c r="L42" s="208" t="e">
        <f ca="1">-IS!L37</f>
        <v>#VALUE!</v>
      </c>
      <c r="M42" s="208" t="e">
        <f ca="1">-IS!M37</f>
        <v>#VALUE!</v>
      </c>
      <c r="N42" s="208" t="e">
        <f ca="1">-IS!N37</f>
        <v>#VALUE!</v>
      </c>
      <c r="O42" s="208" t="e">
        <f ca="1">-IS!O37</f>
        <v>#VALUE!</v>
      </c>
      <c r="P42" s="208" t="e">
        <f ca="1">-IS!P37</f>
        <v>#VALUE!</v>
      </c>
    </row>
    <row r="43" spans="1:16">
      <c r="A43" s="96" t="s">
        <v>70</v>
      </c>
      <c r="B43" s="285"/>
      <c r="C43" s="285"/>
      <c r="D43" s="285"/>
      <c r="E43" s="420"/>
      <c r="F43" s="285"/>
      <c r="G43" s="208" t="e">
        <f ca="1">-IS!G40</f>
        <v>#VALUE!</v>
      </c>
      <c r="H43" s="208" t="e">
        <f ca="1">-IS!H40</f>
        <v>#VALUE!</v>
      </c>
      <c r="I43" s="208" t="e">
        <f ca="1">-IS!I40</f>
        <v>#VALUE!</v>
      </c>
      <c r="J43" s="208" t="e">
        <f ca="1">-IS!J40</f>
        <v>#VALUE!</v>
      </c>
      <c r="K43" s="208" t="e">
        <f ca="1">-IS!K40</f>
        <v>#VALUE!</v>
      </c>
      <c r="L43" s="208" t="e">
        <f ca="1">-IS!L40</f>
        <v>#VALUE!</v>
      </c>
      <c r="M43" s="208" t="e">
        <f ca="1">-IS!M40</f>
        <v>#VALUE!</v>
      </c>
      <c r="N43" s="208" t="e">
        <f ca="1">-IS!N40</f>
        <v>#VALUE!</v>
      </c>
      <c r="O43" s="208" t="e">
        <f ca="1">-IS!O40</f>
        <v>#VALUE!</v>
      </c>
      <c r="P43" s="208" t="e">
        <f ca="1">-IS!P40</f>
        <v>#VALUE!</v>
      </c>
    </row>
    <row r="44" spans="1:16">
      <c r="A44" s="20" t="s">
        <v>71</v>
      </c>
      <c r="B44" s="285"/>
      <c r="C44" s="285"/>
      <c r="D44" s="285"/>
      <c r="E44" s="420"/>
      <c r="F44" s="285"/>
      <c r="G44" s="208" t="e">
        <f ca="1">-IS!G44</f>
        <v>#VALUE!</v>
      </c>
      <c r="H44" s="208" t="e">
        <f ca="1">-IS!H44</f>
        <v>#VALUE!</v>
      </c>
      <c r="I44" s="208" t="e">
        <f ca="1">-IS!I44</f>
        <v>#VALUE!</v>
      </c>
      <c r="J44" s="208" t="e">
        <f ca="1">-IS!J44</f>
        <v>#VALUE!</v>
      </c>
      <c r="K44" s="208" t="e">
        <f ca="1">-IS!K44</f>
        <v>#VALUE!</v>
      </c>
      <c r="L44" s="208" t="e">
        <f ca="1">-IS!L44</f>
        <v>#VALUE!</v>
      </c>
      <c r="M44" s="208" t="e">
        <f ca="1">-IS!M44</f>
        <v>#VALUE!</v>
      </c>
      <c r="N44" s="208" t="e">
        <f ca="1">-IS!N44</f>
        <v>#VALUE!</v>
      </c>
      <c r="O44" s="208" t="e">
        <f ca="1">-IS!O44</f>
        <v>#VALUE!</v>
      </c>
      <c r="P44" s="208" t="e">
        <f ca="1">-IS!P44</f>
        <v>#VALUE!</v>
      </c>
    </row>
    <row r="45" spans="1:16">
      <c r="A45" s="20" t="s">
        <v>72</v>
      </c>
      <c r="B45" s="285"/>
      <c r="C45" s="285"/>
      <c r="D45" s="285"/>
      <c r="E45" s="420"/>
      <c r="F45" s="285"/>
      <c r="G45" s="208">
        <f>CF!B25</f>
        <v>0</v>
      </c>
      <c r="H45" s="208">
        <f>CF!C25</f>
        <v>0</v>
      </c>
      <c r="I45" s="208">
        <f>CF!D25</f>
        <v>0</v>
      </c>
      <c r="J45" s="208">
        <f>CF!E25</f>
        <v>0</v>
      </c>
      <c r="K45" s="208">
        <f>CF!F25</f>
        <v>0</v>
      </c>
      <c r="L45" s="208">
        <f>CF!G25</f>
        <v>0</v>
      </c>
      <c r="M45" s="208">
        <f>CF!H25</f>
        <v>0</v>
      </c>
      <c r="N45" s="208">
        <f>CF!I25</f>
        <v>0</v>
      </c>
      <c r="O45" s="208">
        <f>CF!J25</f>
        <v>0</v>
      </c>
      <c r="P45" s="208">
        <f>CF!K25</f>
        <v>0</v>
      </c>
    </row>
    <row r="46" spans="1:16">
      <c r="A46" s="20" t="s">
        <v>73</v>
      </c>
      <c r="B46" s="285"/>
      <c r="C46" s="285"/>
      <c r="D46" s="285"/>
      <c r="E46" s="420"/>
      <c r="F46" s="285"/>
      <c r="G46" s="191">
        <f>BS!F48</f>
        <v>0</v>
      </c>
      <c r="H46" s="191">
        <f>BS!G48</f>
        <v>0</v>
      </c>
      <c r="I46" s="191">
        <f>BS!H48</f>
        <v>0</v>
      </c>
      <c r="J46" s="191">
        <f>BS!I48</f>
        <v>0</v>
      </c>
      <c r="K46" s="191">
        <f>BS!J48</f>
        <v>0</v>
      </c>
      <c r="L46" s="191">
        <f>BS!K48</f>
        <v>0</v>
      </c>
      <c r="M46" s="191">
        <f>BS!L48</f>
        <v>0</v>
      </c>
      <c r="N46" s="191">
        <f>BS!M48</f>
        <v>0</v>
      </c>
      <c r="O46" s="191">
        <f>BS!N48</f>
        <v>0</v>
      </c>
      <c r="P46" s="191">
        <f>BS!O48</f>
        <v>0</v>
      </c>
    </row>
    <row r="47" spans="1:16">
      <c r="A47" s="415" t="s">
        <v>74</v>
      </c>
      <c r="B47" s="285"/>
      <c r="C47" s="285"/>
      <c r="D47" s="285"/>
      <c r="E47" s="420"/>
      <c r="F47" s="285"/>
      <c r="G47" s="298" t="e">
        <f ca="1">G41+SUM(G42:G46)</f>
        <v>#VALUE!</v>
      </c>
      <c r="H47" s="298" t="e">
        <f ca="1" t="shared" ref="H47:P47" si="5">H41+SUM(H42:H46)</f>
        <v>#VALUE!</v>
      </c>
      <c r="I47" s="298" t="e">
        <f ca="1" t="shared" si="5"/>
        <v>#VALUE!</v>
      </c>
      <c r="J47" s="298" t="e">
        <f ca="1" t="shared" si="5"/>
        <v>#VALUE!</v>
      </c>
      <c r="K47" s="298" t="e">
        <f ca="1" t="shared" si="5"/>
        <v>#VALUE!</v>
      </c>
      <c r="L47" s="298" t="e">
        <f ca="1" t="shared" si="5"/>
        <v>#VALUE!</v>
      </c>
      <c r="M47" s="298" t="e">
        <f ca="1" t="shared" si="5"/>
        <v>#VALUE!</v>
      </c>
      <c r="N47" s="298" t="e">
        <f ca="1" t="shared" si="5"/>
        <v>#VALUE!</v>
      </c>
      <c r="O47" s="298" t="e">
        <f ca="1" t="shared" si="5"/>
        <v>#VALUE!</v>
      </c>
      <c r="P47" s="298" t="e">
        <f ca="1" t="shared" si="5"/>
        <v>#VALUE!</v>
      </c>
    </row>
    <row r="48" spans="1:16">
      <c r="A48" s="20" t="s">
        <v>75</v>
      </c>
      <c r="B48" s="285"/>
      <c r="C48" s="285"/>
      <c r="D48" s="285"/>
      <c r="E48" s="420"/>
      <c r="F48" s="285"/>
      <c r="G48" s="208" t="e">
        <f ca="1">G47</f>
        <v>#VALUE!</v>
      </c>
      <c r="H48" s="208" t="e">
        <f ca="1">H47+G48</f>
        <v>#VALUE!</v>
      </c>
      <c r="I48" s="208" t="e">
        <f ca="1" t="shared" ref="I48:P48" si="6">I47+H48</f>
        <v>#VALUE!</v>
      </c>
      <c r="J48" s="208" t="e">
        <f ca="1" t="shared" si="6"/>
        <v>#VALUE!</v>
      </c>
      <c r="K48" s="208" t="e">
        <f ca="1" t="shared" si="6"/>
        <v>#VALUE!</v>
      </c>
      <c r="L48" s="208" t="e">
        <f ca="1" t="shared" si="6"/>
        <v>#VALUE!</v>
      </c>
      <c r="M48" s="208" t="e">
        <f ca="1" t="shared" si="6"/>
        <v>#VALUE!</v>
      </c>
      <c r="N48" s="208" t="e">
        <f ca="1" t="shared" si="6"/>
        <v>#VALUE!</v>
      </c>
      <c r="O48" s="208" t="e">
        <f ca="1" t="shared" si="6"/>
        <v>#VALUE!</v>
      </c>
      <c r="P48" s="208" t="e">
        <f ca="1" t="shared" si="6"/>
        <v>#VALUE!</v>
      </c>
    </row>
    <row r="49" spans="1:16">
      <c r="A49" s="285"/>
      <c r="B49" s="285"/>
      <c r="C49" s="285"/>
      <c r="D49" s="285"/>
      <c r="E49" s="420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</row>
    <row r="50" ht="15.6" spans="1:16">
      <c r="A50" s="15" t="s">
        <v>76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>
      <c r="A51" s="20" t="s">
        <v>77</v>
      </c>
      <c r="B51" s="20"/>
      <c r="D51" s="225"/>
      <c r="E51" s="188">
        <f>BS!B7</f>
        <v>0</v>
      </c>
      <c r="F51" s="188">
        <f>BS!E7</f>
        <v>0</v>
      </c>
      <c r="G51" s="188" t="e">
        <f ca="1">BS!F7</f>
        <v>#VALUE!</v>
      </c>
      <c r="H51" s="188" t="e">
        <f ca="1">BS!G7</f>
        <v>#VALUE!</v>
      </c>
      <c r="I51" s="188" t="e">
        <f ca="1">BS!H7</f>
        <v>#VALUE!</v>
      </c>
      <c r="J51" s="188" t="e">
        <f ca="1">BS!I7</f>
        <v>#VALUE!</v>
      </c>
      <c r="K51" s="188" t="e">
        <f ca="1">BS!J7</f>
        <v>#VALUE!</v>
      </c>
      <c r="L51" s="188" t="e">
        <f ca="1">BS!K7</f>
        <v>#VALUE!</v>
      </c>
      <c r="M51" s="188" t="e">
        <f ca="1">BS!L7</f>
        <v>#VALUE!</v>
      </c>
      <c r="N51" s="188" t="e">
        <f ca="1">BS!M7</f>
        <v>#VALUE!</v>
      </c>
      <c r="O51" s="188" t="e">
        <f ca="1">BS!N7</f>
        <v>#VALUE!</v>
      </c>
      <c r="P51" s="188" t="e">
        <f ca="1">BS!O7</f>
        <v>#VALUE!</v>
      </c>
    </row>
    <row r="52" spans="1:16">
      <c r="A52" s="20"/>
      <c r="B52" s="20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</row>
    <row r="53" spans="1:16">
      <c r="A53" s="20" t="s">
        <v>19</v>
      </c>
      <c r="B53" s="20"/>
      <c r="D53" s="225"/>
      <c r="E53" s="188">
        <f>+BS!B25</f>
        <v>0</v>
      </c>
      <c r="F53" s="188">
        <f>+BS!E25</f>
        <v>0</v>
      </c>
      <c r="G53" s="188" t="e">
        <f ca="1">+BS!F25</f>
        <v>#VALUE!</v>
      </c>
      <c r="H53" s="188" t="e">
        <f ca="1">+BS!G25</f>
        <v>#VALUE!</v>
      </c>
      <c r="I53" s="188" t="e">
        <f ca="1">+BS!H25</f>
        <v>#VALUE!</v>
      </c>
      <c r="J53" s="188" t="e">
        <f ca="1">+BS!I25</f>
        <v>#VALUE!</v>
      </c>
      <c r="K53" s="188" t="e">
        <f ca="1">+BS!J25</f>
        <v>#VALUE!</v>
      </c>
      <c r="L53" s="188" t="e">
        <f ca="1">+BS!K25</f>
        <v>#VALUE!</v>
      </c>
      <c r="M53" s="188" t="e">
        <f ca="1">+BS!L25</f>
        <v>#VALUE!</v>
      </c>
      <c r="N53" s="188" t="e">
        <f ca="1">+BS!M25</f>
        <v>#VALUE!</v>
      </c>
      <c r="O53" s="188" t="e">
        <f ca="1">+BS!N25</f>
        <v>#VALUE!</v>
      </c>
      <c r="P53" s="188" t="e">
        <f ca="1">+BS!O25</f>
        <v>#VALUE!</v>
      </c>
    </row>
    <row r="54" spans="1:16">
      <c r="A54" s="20" t="s">
        <v>23</v>
      </c>
      <c r="B54" s="20"/>
      <c r="D54" s="196"/>
      <c r="E54" s="208">
        <f>+BS!B26</f>
        <v>0</v>
      </c>
      <c r="F54" s="208">
        <f>+BS!E26</f>
        <v>0</v>
      </c>
      <c r="G54" s="208">
        <f ca="1">+BS!F26</f>
        <v>0</v>
      </c>
      <c r="H54" s="208">
        <f ca="1">+BS!G26</f>
        <v>0</v>
      </c>
      <c r="I54" s="208">
        <f ca="1">+BS!H26</f>
        <v>0</v>
      </c>
      <c r="J54" s="208">
        <f ca="1">+BS!I26</f>
        <v>0</v>
      </c>
      <c r="K54" s="208">
        <f ca="1">+BS!J26</f>
        <v>0</v>
      </c>
      <c r="L54" s="208">
        <f ca="1">+BS!K26</f>
        <v>0</v>
      </c>
      <c r="M54" s="208">
        <f ca="1">+BS!L26</f>
        <v>0</v>
      </c>
      <c r="N54" s="208">
        <f ca="1">+BS!M26</f>
        <v>0</v>
      </c>
      <c r="O54" s="208">
        <f ca="1">+BS!N26</f>
        <v>0</v>
      </c>
      <c r="P54" s="208">
        <f ca="1">+BS!O26</f>
        <v>0</v>
      </c>
    </row>
    <row r="55" spans="1:16">
      <c r="A55" s="20" t="s">
        <v>27</v>
      </c>
      <c r="B55" s="20"/>
      <c r="D55" s="196"/>
      <c r="E55" s="208">
        <f>+BS!B27</f>
        <v>0</v>
      </c>
      <c r="F55" s="208">
        <f>+BS!E27</f>
        <v>0</v>
      </c>
      <c r="G55" s="208">
        <f ca="1">+BS!F27</f>
        <v>0</v>
      </c>
      <c r="H55" s="208">
        <f ca="1">+BS!G27</f>
        <v>0</v>
      </c>
      <c r="I55" s="208">
        <f ca="1">+BS!H27</f>
        <v>0</v>
      </c>
      <c r="J55" s="208">
        <f ca="1">+BS!I27</f>
        <v>0</v>
      </c>
      <c r="K55" s="208">
        <f ca="1">+BS!J27</f>
        <v>0</v>
      </c>
      <c r="L55" s="208">
        <f ca="1">+BS!K27</f>
        <v>0</v>
      </c>
      <c r="M55" s="208">
        <f ca="1">+BS!L27</f>
        <v>0</v>
      </c>
      <c r="N55" s="208">
        <f ca="1">+BS!M27</f>
        <v>0</v>
      </c>
      <c r="O55" s="208">
        <f ca="1">+BS!N27</f>
        <v>0</v>
      </c>
      <c r="P55" s="208">
        <f ca="1">+BS!O27</f>
        <v>0</v>
      </c>
    </row>
    <row r="56" spans="1:16">
      <c r="A56" s="20" t="s">
        <v>31</v>
      </c>
      <c r="B56" s="20"/>
      <c r="D56" s="196"/>
      <c r="E56" s="208">
        <f>+BS!B28</f>
        <v>0</v>
      </c>
      <c r="F56" s="208">
        <f>+BS!E28</f>
        <v>0</v>
      </c>
      <c r="G56" s="208">
        <f ca="1">+BS!F28</f>
        <v>0</v>
      </c>
      <c r="H56" s="208">
        <f ca="1">+BS!G28</f>
        <v>0</v>
      </c>
      <c r="I56" s="208">
        <f ca="1">+BS!H28</f>
        <v>0</v>
      </c>
      <c r="J56" s="208">
        <f ca="1">+BS!I28</f>
        <v>0</v>
      </c>
      <c r="K56" s="208">
        <f ca="1">+BS!J28</f>
        <v>0</v>
      </c>
      <c r="L56" s="208">
        <f ca="1">+BS!K28</f>
        <v>0</v>
      </c>
      <c r="M56" s="208">
        <f ca="1">+BS!L28</f>
        <v>0</v>
      </c>
      <c r="N56" s="208">
        <f ca="1">+BS!M28</f>
        <v>0</v>
      </c>
      <c r="O56" s="208">
        <f ca="1">+BS!N28</f>
        <v>0</v>
      </c>
      <c r="P56" s="208">
        <f ca="1">+BS!O28</f>
        <v>0</v>
      </c>
    </row>
    <row r="57" spans="1:16">
      <c r="A57" s="20" t="s">
        <v>78</v>
      </c>
      <c r="B57" s="20"/>
      <c r="D57" s="196"/>
      <c r="E57" s="208">
        <f>+BS!B29</f>
        <v>0</v>
      </c>
      <c r="F57" s="208">
        <f>+BS!E29</f>
        <v>0</v>
      </c>
      <c r="G57" s="208">
        <f ca="1">+BS!F29</f>
        <v>0</v>
      </c>
      <c r="H57" s="208">
        <f ca="1">+BS!G29</f>
        <v>0</v>
      </c>
      <c r="I57" s="208">
        <f ca="1">+BS!H29</f>
        <v>0</v>
      </c>
      <c r="J57" s="208">
        <f ca="1">+BS!I29</f>
        <v>0</v>
      </c>
      <c r="K57" s="208">
        <f ca="1">+BS!J29</f>
        <v>0</v>
      </c>
      <c r="L57" s="208">
        <f ca="1">+BS!K29</f>
        <v>0</v>
      </c>
      <c r="M57" s="208">
        <f ca="1">+BS!L29</f>
        <v>0</v>
      </c>
      <c r="N57" s="208">
        <f ca="1">+BS!M29</f>
        <v>0</v>
      </c>
      <c r="O57" s="208">
        <f ca="1">+BS!N29</f>
        <v>0</v>
      </c>
      <c r="P57" s="208">
        <f ca="1">+BS!O29</f>
        <v>0</v>
      </c>
    </row>
    <row r="58" spans="1:16">
      <c r="A58" s="20" t="s">
        <v>33</v>
      </c>
      <c r="B58" s="20"/>
      <c r="D58" s="196"/>
      <c r="E58" s="208">
        <f>+BS!B30</f>
        <v>0</v>
      </c>
      <c r="F58" s="208">
        <f>+BS!E30</f>
        <v>0</v>
      </c>
      <c r="G58" s="208">
        <f>+BS!F30</f>
        <v>0</v>
      </c>
      <c r="H58" s="208">
        <f>+BS!G30</f>
        <v>0</v>
      </c>
      <c r="I58" s="208">
        <f>+BS!H30</f>
        <v>0</v>
      </c>
      <c r="J58" s="208">
        <f>+BS!I30</f>
        <v>0</v>
      </c>
      <c r="K58" s="208">
        <f>+BS!J30</f>
        <v>0</v>
      </c>
      <c r="L58" s="208">
        <f>+BS!K30</f>
        <v>0</v>
      </c>
      <c r="M58" s="208">
        <f>+BS!L30</f>
        <v>0</v>
      </c>
      <c r="N58" s="208">
        <f>+BS!M30</f>
        <v>0</v>
      </c>
      <c r="O58" s="208">
        <f>+BS!N30</f>
        <v>0</v>
      </c>
      <c r="P58" s="208">
        <f>+BS!O30</f>
        <v>0</v>
      </c>
    </row>
    <row r="59" spans="1:16">
      <c r="A59" s="20" t="s">
        <v>79</v>
      </c>
      <c r="B59" s="20"/>
      <c r="D59" s="196"/>
      <c r="E59" s="191">
        <f>+BS!B34</f>
        <v>0</v>
      </c>
      <c r="F59" s="191">
        <f>+BS!E34</f>
        <v>0</v>
      </c>
      <c r="G59" s="191">
        <f>+BS!F34</f>
        <v>0</v>
      </c>
      <c r="H59" s="191">
        <f>+BS!G34</f>
        <v>0</v>
      </c>
      <c r="I59" s="191">
        <f>+BS!H34</f>
        <v>0</v>
      </c>
      <c r="J59" s="191">
        <f>+BS!I34</f>
        <v>0</v>
      </c>
      <c r="K59" s="191">
        <f>+BS!J34</f>
        <v>0</v>
      </c>
      <c r="L59" s="191">
        <f>+BS!K34</f>
        <v>0</v>
      </c>
      <c r="M59" s="191">
        <f>+BS!L34</f>
        <v>0</v>
      </c>
      <c r="N59" s="191">
        <f>+BS!M34</f>
        <v>0</v>
      </c>
      <c r="O59" s="191">
        <f>+BS!N34</f>
        <v>0</v>
      </c>
      <c r="P59" s="191">
        <f>+BS!O34</f>
        <v>0</v>
      </c>
    </row>
    <row r="60" spans="1:16">
      <c r="A60" s="415" t="s">
        <v>80</v>
      </c>
      <c r="B60" s="20"/>
      <c r="D60" s="192"/>
      <c r="E60" s="298">
        <f>SUM(E53:E59)</f>
        <v>0</v>
      </c>
      <c r="F60" s="298">
        <f t="shared" ref="F60:P60" si="7">SUM(F53:F59)</f>
        <v>0</v>
      </c>
      <c r="G60" s="298" t="e">
        <f ca="1" t="shared" si="7"/>
        <v>#VALUE!</v>
      </c>
      <c r="H60" s="298" t="e">
        <f ca="1" t="shared" si="7"/>
        <v>#VALUE!</v>
      </c>
      <c r="I60" s="298" t="e">
        <f ca="1" t="shared" si="7"/>
        <v>#VALUE!</v>
      </c>
      <c r="J60" s="298" t="e">
        <f ca="1" t="shared" si="7"/>
        <v>#VALUE!</v>
      </c>
      <c r="K60" s="298" t="e">
        <f ca="1" t="shared" si="7"/>
        <v>#VALUE!</v>
      </c>
      <c r="L60" s="298" t="e">
        <f ca="1" t="shared" si="7"/>
        <v>#VALUE!</v>
      </c>
      <c r="M60" s="298" t="e">
        <f ca="1" t="shared" si="7"/>
        <v>#VALUE!</v>
      </c>
      <c r="N60" s="298" t="e">
        <f ca="1" t="shared" si="7"/>
        <v>#VALUE!</v>
      </c>
      <c r="O60" s="298" t="e">
        <f ca="1" t="shared" si="7"/>
        <v>#VALUE!</v>
      </c>
      <c r="P60" s="298" t="e">
        <f ca="1" t="shared" si="7"/>
        <v>#VALUE!</v>
      </c>
    </row>
    <row r="61" spans="1:16">
      <c r="A61" s="20"/>
      <c r="B61" s="20"/>
      <c r="D61" s="416"/>
      <c r="E61" s="416"/>
      <c r="F61" s="416"/>
      <c r="G61" s="416"/>
      <c r="H61" s="416"/>
      <c r="I61" s="416"/>
      <c r="J61" s="416"/>
      <c r="K61" s="416"/>
      <c r="L61" s="416"/>
      <c r="M61" s="416"/>
      <c r="N61" s="416"/>
      <c r="O61" s="416"/>
      <c r="P61" s="416"/>
    </row>
    <row r="62" spans="1:16">
      <c r="A62" s="20" t="s">
        <v>37</v>
      </c>
      <c r="B62" s="20"/>
      <c r="D62" s="196"/>
      <c r="E62" s="191">
        <f>BS!B31</f>
        <v>0</v>
      </c>
      <c r="F62" s="191">
        <f>BS!E31</f>
        <v>0</v>
      </c>
      <c r="G62" s="191">
        <f>BS!F31</f>
        <v>0</v>
      </c>
      <c r="H62" s="191">
        <f>BS!G31</f>
        <v>0</v>
      </c>
      <c r="I62" s="191">
        <f>BS!H31</f>
        <v>0</v>
      </c>
      <c r="J62" s="191">
        <f>BS!I31</f>
        <v>0</v>
      </c>
      <c r="K62" s="191">
        <f>BS!J31</f>
        <v>0</v>
      </c>
      <c r="L62" s="191">
        <f>BS!K31</f>
        <v>0</v>
      </c>
      <c r="M62" s="191">
        <f>BS!L31</f>
        <v>0</v>
      </c>
      <c r="N62" s="191">
        <f>BS!M31</f>
        <v>0</v>
      </c>
      <c r="O62" s="191">
        <f>BS!N31</f>
        <v>0</v>
      </c>
      <c r="P62" s="191">
        <f>BS!O31</f>
        <v>0</v>
      </c>
    </row>
    <row r="63" spans="1:16">
      <c r="A63" s="415" t="s">
        <v>81</v>
      </c>
      <c r="B63" s="20"/>
      <c r="D63" s="192"/>
      <c r="E63" s="298">
        <f>+E62+E60</f>
        <v>0</v>
      </c>
      <c r="F63" s="298">
        <f t="shared" ref="F63:P63" si="8">+F62+F60</f>
        <v>0</v>
      </c>
      <c r="G63" s="298" t="e">
        <f ca="1" t="shared" si="8"/>
        <v>#VALUE!</v>
      </c>
      <c r="H63" s="298" t="e">
        <f ca="1" t="shared" si="8"/>
        <v>#VALUE!</v>
      </c>
      <c r="I63" s="298" t="e">
        <f ca="1" t="shared" si="8"/>
        <v>#VALUE!</v>
      </c>
      <c r="J63" s="298" t="e">
        <f ca="1" t="shared" si="8"/>
        <v>#VALUE!</v>
      </c>
      <c r="K63" s="298" t="e">
        <f ca="1" t="shared" si="8"/>
        <v>#VALUE!</v>
      </c>
      <c r="L63" s="298" t="e">
        <f ca="1" t="shared" si="8"/>
        <v>#VALUE!</v>
      </c>
      <c r="M63" s="298" t="e">
        <f ca="1" t="shared" si="8"/>
        <v>#VALUE!</v>
      </c>
      <c r="N63" s="298" t="e">
        <f ca="1" t="shared" si="8"/>
        <v>#VALUE!</v>
      </c>
      <c r="O63" s="298" t="e">
        <f ca="1" t="shared" si="8"/>
        <v>#VALUE!</v>
      </c>
      <c r="P63" s="298" t="e">
        <f ca="1" t="shared" si="8"/>
        <v>#VALUE!</v>
      </c>
    </row>
    <row r="64" spans="1:16">
      <c r="A64" s="20"/>
      <c r="B64" s="20"/>
      <c r="D64" s="416"/>
      <c r="E64" s="416"/>
      <c r="F64" s="416"/>
      <c r="G64" s="416"/>
      <c r="H64" s="416"/>
      <c r="I64" s="247"/>
      <c r="J64" s="416"/>
      <c r="K64" s="416"/>
      <c r="L64" s="416"/>
      <c r="M64" s="416"/>
      <c r="N64" s="416"/>
      <c r="O64" s="416"/>
      <c r="P64" s="416"/>
    </row>
    <row r="65" spans="1:16">
      <c r="A65" s="20" t="s">
        <v>40</v>
      </c>
      <c r="B65" s="20"/>
      <c r="D65" s="196"/>
      <c r="E65" s="191">
        <f>BS!B33</f>
        <v>0</v>
      </c>
      <c r="F65" s="191">
        <f>BS!E33</f>
        <v>0</v>
      </c>
      <c r="G65" s="191">
        <f>BS!F33</f>
        <v>0</v>
      </c>
      <c r="H65" s="191">
        <f>BS!G33</f>
        <v>0</v>
      </c>
      <c r="I65" s="191">
        <f>BS!H33</f>
        <v>0</v>
      </c>
      <c r="J65" s="191">
        <f>BS!I33</f>
        <v>0</v>
      </c>
      <c r="K65" s="191">
        <f>BS!J33</f>
        <v>0</v>
      </c>
      <c r="L65" s="191">
        <f>BS!K33</f>
        <v>0</v>
      </c>
      <c r="M65" s="191">
        <f>BS!L33</f>
        <v>0</v>
      </c>
      <c r="N65" s="191">
        <f>BS!M33</f>
        <v>0</v>
      </c>
      <c r="O65" s="191">
        <f>BS!N33</f>
        <v>0</v>
      </c>
      <c r="P65" s="191">
        <f>BS!O33</f>
        <v>0</v>
      </c>
    </row>
    <row r="66" spans="1:16">
      <c r="A66" s="415" t="s">
        <v>82</v>
      </c>
      <c r="B66" s="20"/>
      <c r="D66" s="192"/>
      <c r="E66" s="298">
        <f>+E65+E63</f>
        <v>0</v>
      </c>
      <c r="F66" s="298">
        <f t="shared" ref="F66:P66" si="9">+F65+F63</f>
        <v>0</v>
      </c>
      <c r="G66" s="298" t="e">
        <f ca="1" t="shared" si="9"/>
        <v>#VALUE!</v>
      </c>
      <c r="H66" s="298" t="e">
        <f ca="1" t="shared" si="9"/>
        <v>#VALUE!</v>
      </c>
      <c r="I66" s="298" t="e">
        <f ca="1" t="shared" si="9"/>
        <v>#VALUE!</v>
      </c>
      <c r="J66" s="298" t="e">
        <f ca="1" t="shared" si="9"/>
        <v>#VALUE!</v>
      </c>
      <c r="K66" s="298" t="e">
        <f ca="1" t="shared" si="9"/>
        <v>#VALUE!</v>
      </c>
      <c r="L66" s="298" t="e">
        <f ca="1" t="shared" si="9"/>
        <v>#VALUE!</v>
      </c>
      <c r="M66" s="298" t="e">
        <f ca="1" t="shared" si="9"/>
        <v>#VALUE!</v>
      </c>
      <c r="N66" s="298" t="e">
        <f ca="1" t="shared" si="9"/>
        <v>#VALUE!</v>
      </c>
      <c r="O66" s="298" t="e">
        <f ca="1" t="shared" si="9"/>
        <v>#VALUE!</v>
      </c>
      <c r="P66" s="298" t="e">
        <f ca="1" t="shared" si="9"/>
        <v>#VALUE!</v>
      </c>
    </row>
    <row r="67" spans="1:16">
      <c r="A67" s="20"/>
      <c r="B67" s="20"/>
      <c r="D67" s="418"/>
      <c r="E67" s="418"/>
      <c r="F67" s="418"/>
      <c r="G67" s="418"/>
      <c r="H67" s="418"/>
      <c r="I67" s="41"/>
      <c r="J67" s="418"/>
      <c r="K67" s="418"/>
      <c r="L67" s="418"/>
      <c r="M67" s="418"/>
      <c r="N67" s="418"/>
      <c r="O67" s="418"/>
      <c r="P67" s="418"/>
    </row>
    <row r="68" spans="1:16">
      <c r="A68" s="20" t="s">
        <v>83</v>
      </c>
      <c r="B68" s="20"/>
      <c r="D68" s="196"/>
      <c r="E68" s="191">
        <f>BS!B40</f>
        <v>0</v>
      </c>
      <c r="F68" s="191">
        <f>BS!E40</f>
        <v>3922.5912</v>
      </c>
      <c r="G68" s="191" t="e">
        <f ca="1">BS!F40</f>
        <v>#VALUE!</v>
      </c>
      <c r="H68" s="191" t="e">
        <f ca="1">BS!G40</f>
        <v>#VALUE!</v>
      </c>
      <c r="I68" s="191" t="e">
        <f ca="1">BS!H40</f>
        <v>#VALUE!</v>
      </c>
      <c r="J68" s="191" t="e">
        <f ca="1">BS!I40</f>
        <v>#VALUE!</v>
      </c>
      <c r="K68" s="191" t="e">
        <f ca="1">BS!J40</f>
        <v>#VALUE!</v>
      </c>
      <c r="L68" s="191" t="e">
        <f ca="1">BS!K40</f>
        <v>#VALUE!</v>
      </c>
      <c r="M68" s="191" t="e">
        <f ca="1">BS!L40</f>
        <v>#VALUE!</v>
      </c>
      <c r="N68" s="191" t="e">
        <f ca="1">BS!M40</f>
        <v>#VALUE!</v>
      </c>
      <c r="O68" s="191" t="e">
        <f ca="1">BS!N40</f>
        <v>#VALUE!</v>
      </c>
      <c r="P68" s="191" t="e">
        <f ca="1">BS!O40</f>
        <v>#VALUE!</v>
      </c>
    </row>
    <row r="69" ht="15.15" spans="1:16">
      <c r="A69" s="415" t="s">
        <v>84</v>
      </c>
      <c r="B69" s="20"/>
      <c r="D69" s="192"/>
      <c r="E69" s="198">
        <f>+E68+E66</f>
        <v>0</v>
      </c>
      <c r="F69" s="198">
        <f t="shared" ref="F69:P69" si="10">+F68+F66</f>
        <v>3922.5912</v>
      </c>
      <c r="G69" s="198" t="e">
        <f ca="1" t="shared" si="10"/>
        <v>#VALUE!</v>
      </c>
      <c r="H69" s="198" t="e">
        <f ca="1" t="shared" si="10"/>
        <v>#VALUE!</v>
      </c>
      <c r="I69" s="198" t="e">
        <f ca="1" t="shared" si="10"/>
        <v>#VALUE!</v>
      </c>
      <c r="J69" s="198" t="e">
        <f ca="1" t="shared" si="10"/>
        <v>#VALUE!</v>
      </c>
      <c r="K69" s="198" t="e">
        <f ca="1" t="shared" si="10"/>
        <v>#VALUE!</v>
      </c>
      <c r="L69" s="198" t="e">
        <f ca="1" t="shared" si="10"/>
        <v>#VALUE!</v>
      </c>
      <c r="M69" s="198" t="e">
        <f ca="1" t="shared" si="10"/>
        <v>#VALUE!</v>
      </c>
      <c r="N69" s="198" t="e">
        <f ca="1" t="shared" si="10"/>
        <v>#VALUE!</v>
      </c>
      <c r="O69" s="198" t="e">
        <f ca="1" t="shared" si="10"/>
        <v>#VALUE!</v>
      </c>
      <c r="P69" s="198" t="e">
        <f ca="1" t="shared" si="10"/>
        <v>#VALUE!</v>
      </c>
    </row>
    <row r="70" ht="15.15" spans="1:16">
      <c r="A70" s="20"/>
      <c r="B70" s="20"/>
      <c r="C70" s="20"/>
      <c r="D70" s="20"/>
      <c r="E70" s="342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</row>
    <row r="71" spans="1:16">
      <c r="A71" s="377" t="s">
        <v>85</v>
      </c>
      <c r="B71" s="377"/>
      <c r="C71" s="377"/>
      <c r="D71" s="377"/>
      <c r="E71" s="342"/>
      <c r="F71" s="342">
        <f>+IF(ISERROR(1-(SUM(F53:F57)/(SUM($F$53:$F$57)))),0,1-(SUM(F53:F57)/(SUM($F$53:$F$57))))</f>
        <v>0</v>
      </c>
      <c r="G71" s="342">
        <f ca="1">+IF(ISERROR(1-(SUM(G53:G57)/(SUM($F$53:$F$57)))),0,1-(SUM(G53:G57)/(SUM($F$53:$F$57))))</f>
        <v>0</v>
      </c>
      <c r="H71" s="342">
        <f ca="1" t="shared" ref="H71:P71" si="11">+IF(ISERROR(1-(SUM(H53:H57)/(SUM($F$53:$F$57)))),0,1-(SUM(H53:H57)/(SUM($F$53:$F$57))))</f>
        <v>0</v>
      </c>
      <c r="I71" s="342">
        <f ca="1" t="shared" si="11"/>
        <v>0</v>
      </c>
      <c r="J71" s="342">
        <f ca="1" t="shared" si="11"/>
        <v>0</v>
      </c>
      <c r="K71" s="342">
        <f ca="1" t="shared" si="11"/>
        <v>0</v>
      </c>
      <c r="L71" s="342">
        <f ca="1" t="shared" si="11"/>
        <v>0</v>
      </c>
      <c r="M71" s="342">
        <f ca="1" t="shared" si="11"/>
        <v>0</v>
      </c>
      <c r="N71" s="342">
        <f ca="1" t="shared" si="11"/>
        <v>0</v>
      </c>
      <c r="O71" s="342">
        <f ca="1" t="shared" si="11"/>
        <v>0</v>
      </c>
      <c r="P71" s="342">
        <f ca="1" t="shared" si="11"/>
        <v>0</v>
      </c>
    </row>
    <row r="72" spans="1:16">
      <c r="A72" s="20"/>
      <c r="B72" s="20"/>
      <c r="C72" s="20"/>
      <c r="D72" s="20"/>
      <c r="E72" s="96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ht="15.6" spans="1:16">
      <c r="A73" s="15" t="s">
        <v>86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>
      <c r="A74" s="377" t="s">
        <v>87</v>
      </c>
      <c r="B74" s="377"/>
      <c r="C74" s="377"/>
      <c r="D74" s="377"/>
      <c r="E74" s="342">
        <f>+IF(ISERROR(E66/E69),0,E66/E69)</f>
        <v>0</v>
      </c>
      <c r="F74" s="342">
        <f>+IF(ISERROR(F66/F69),0,F66/F69)</f>
        <v>0</v>
      </c>
      <c r="G74" s="342">
        <f ca="1" t="shared" ref="G74:P74" si="12">+IF(ISERROR(G66/G69),0,G66/G69)</f>
        <v>0</v>
      </c>
      <c r="H74" s="342">
        <f ca="1" t="shared" si="12"/>
        <v>0</v>
      </c>
      <c r="I74" s="342">
        <f ca="1" t="shared" si="12"/>
        <v>0</v>
      </c>
      <c r="J74" s="342">
        <f ca="1" t="shared" si="12"/>
        <v>0</v>
      </c>
      <c r="K74" s="342">
        <f ca="1" t="shared" si="12"/>
        <v>0</v>
      </c>
      <c r="L74" s="342">
        <f ca="1" t="shared" si="12"/>
        <v>0</v>
      </c>
      <c r="M74" s="342">
        <f ca="1" t="shared" si="12"/>
        <v>0</v>
      </c>
      <c r="N74" s="342">
        <f ca="1" t="shared" si="12"/>
        <v>0</v>
      </c>
      <c r="O74" s="342">
        <f ca="1" t="shared" si="12"/>
        <v>0</v>
      </c>
      <c r="P74" s="342">
        <f ca="1" t="shared" si="12"/>
        <v>0</v>
      </c>
    </row>
    <row r="75" spans="1:16">
      <c r="A75" s="20"/>
      <c r="B75" s="20"/>
      <c r="C75" s="20"/>
      <c r="D75" s="20"/>
      <c r="E75" s="457"/>
      <c r="F75" s="457"/>
      <c r="G75" s="457"/>
      <c r="H75" s="457"/>
      <c r="I75" s="457"/>
      <c r="J75" s="457"/>
      <c r="K75" s="457"/>
      <c r="L75" s="457"/>
      <c r="M75" s="457"/>
      <c r="N75" s="457"/>
      <c r="O75" s="457"/>
      <c r="P75" s="457"/>
    </row>
    <row r="76" spans="1:16">
      <c r="A76" s="20" t="s">
        <v>88</v>
      </c>
      <c r="B76" s="20"/>
      <c r="C76" s="20"/>
      <c r="D76" s="20"/>
      <c r="E76" s="395"/>
      <c r="F76" s="395">
        <f ca="1">+IF(ISERROR(F31/F37),0,F31/F37)</f>
        <v>0</v>
      </c>
      <c r="G76" s="395">
        <f ca="1">+IF(ISERROR(G31/G37),0,G31/G37)</f>
        <v>0</v>
      </c>
      <c r="H76" s="395">
        <f ca="1">+IF(ISERROR(H31/H37),0,H31/H37)</f>
        <v>0</v>
      </c>
      <c r="I76" s="395">
        <f ca="1">+IF(ISERROR(I31/I37),0,I31/I37)</f>
        <v>0</v>
      </c>
      <c r="J76" s="395">
        <f ca="1">+IF(ISERROR(J31/J37),0,J31/J37)</f>
        <v>0</v>
      </c>
      <c r="K76" s="395">
        <f ca="1" t="shared" ref="K76:P76" si="13">+IF(ISERROR(K31/K37),0,K31/K37)</f>
        <v>0</v>
      </c>
      <c r="L76" s="395">
        <f ca="1" t="shared" si="13"/>
        <v>0</v>
      </c>
      <c r="M76" s="395">
        <f ca="1" t="shared" si="13"/>
        <v>0</v>
      </c>
      <c r="N76" s="395">
        <f ca="1" t="shared" si="13"/>
        <v>0</v>
      </c>
      <c r="O76" s="395">
        <f ca="1" t="shared" si="13"/>
        <v>0</v>
      </c>
      <c r="P76" s="395">
        <f ca="1" t="shared" si="13"/>
        <v>0</v>
      </c>
    </row>
    <row r="77" spans="1:16">
      <c r="A77" s="20" t="s">
        <v>89</v>
      </c>
      <c r="B77" s="20"/>
      <c r="C77" s="20"/>
      <c r="D77" s="20"/>
      <c r="E77" s="395"/>
      <c r="F77" s="395">
        <f ca="1">+IF(ISERROR((F31+F34)/F37),0,(F31+F34)/F37)</f>
        <v>0</v>
      </c>
      <c r="G77" s="395">
        <f ca="1" t="shared" ref="G77:P77" si="14">+IF(ISERROR((G31+G34)/G37),0,(G31+G34)/G37)</f>
        <v>0</v>
      </c>
      <c r="H77" s="395">
        <f ca="1" t="shared" si="14"/>
        <v>0</v>
      </c>
      <c r="I77" s="395">
        <f ca="1" t="shared" si="14"/>
        <v>0</v>
      </c>
      <c r="J77" s="395">
        <f ca="1" t="shared" si="14"/>
        <v>0</v>
      </c>
      <c r="K77" s="395">
        <f ca="1" t="shared" si="14"/>
        <v>0</v>
      </c>
      <c r="L77" s="395">
        <f ca="1" t="shared" si="14"/>
        <v>0</v>
      </c>
      <c r="M77" s="395">
        <f ca="1" t="shared" si="14"/>
        <v>0</v>
      </c>
      <c r="N77" s="395">
        <f ca="1" t="shared" si="14"/>
        <v>0</v>
      </c>
      <c r="O77" s="395">
        <f ca="1" t="shared" si="14"/>
        <v>0</v>
      </c>
      <c r="P77" s="395">
        <f ca="1" t="shared" si="14"/>
        <v>0</v>
      </c>
    </row>
    <row r="78" spans="1:16">
      <c r="A78" s="20"/>
      <c r="B78" s="20"/>
      <c r="C78" s="20"/>
      <c r="D78" s="20"/>
      <c r="E78" s="395"/>
      <c r="F78" s="395"/>
      <c r="G78" s="395"/>
      <c r="H78" s="395"/>
      <c r="I78" s="395"/>
      <c r="J78" s="395"/>
      <c r="K78" s="395"/>
      <c r="L78" s="395"/>
      <c r="M78" s="395"/>
      <c r="N78" s="395"/>
      <c r="O78" s="395"/>
      <c r="P78" s="395"/>
    </row>
    <row r="79" spans="1:16">
      <c r="A79" s="20" t="s">
        <v>90</v>
      </c>
      <c r="B79" s="20"/>
      <c r="C79" s="20"/>
      <c r="D79" s="20"/>
      <c r="E79" s="395"/>
      <c r="F79" s="395">
        <f ca="1">+IF(ISERROR(F31/F38),0,F31/F38)</f>
        <v>0</v>
      </c>
      <c r="G79" s="395">
        <f ca="1" t="shared" ref="G79:P79" si="15">+IF(ISERROR(G31/G38),0,G31/G38)</f>
        <v>0</v>
      </c>
      <c r="H79" s="395">
        <f ca="1" t="shared" si="15"/>
        <v>0</v>
      </c>
      <c r="I79" s="395">
        <f ca="1" t="shared" si="15"/>
        <v>0</v>
      </c>
      <c r="J79" s="395">
        <f ca="1" t="shared" si="15"/>
        <v>0</v>
      </c>
      <c r="K79" s="395">
        <f ca="1" t="shared" si="15"/>
        <v>0</v>
      </c>
      <c r="L79" s="395">
        <f ca="1" t="shared" si="15"/>
        <v>0</v>
      </c>
      <c r="M79" s="395">
        <f ca="1" t="shared" si="15"/>
        <v>0</v>
      </c>
      <c r="N79" s="395">
        <f ca="1" t="shared" si="15"/>
        <v>0</v>
      </c>
      <c r="O79" s="395">
        <f ca="1" t="shared" si="15"/>
        <v>0</v>
      </c>
      <c r="P79" s="395">
        <f ca="1" t="shared" si="15"/>
        <v>0</v>
      </c>
    </row>
    <row r="80" spans="1:16">
      <c r="A80" s="20" t="s">
        <v>91</v>
      </c>
      <c r="B80" s="20"/>
      <c r="C80" s="20"/>
      <c r="D80" s="20"/>
      <c r="E80" s="395"/>
      <c r="F80" s="395">
        <f ca="1">+IF(ISERROR((F31+F34)/F38),0,(F31+F34)/F38)</f>
        <v>0</v>
      </c>
      <c r="G80" s="395">
        <f ca="1" t="shared" ref="G80:P80" si="16">+IF(ISERROR((G31+G34)/G38),0,(G31+G34)/G38)</f>
        <v>0</v>
      </c>
      <c r="H80" s="395">
        <f ca="1" t="shared" si="16"/>
        <v>0</v>
      </c>
      <c r="I80" s="395">
        <f ca="1" t="shared" si="16"/>
        <v>0</v>
      </c>
      <c r="J80" s="395">
        <f ca="1" t="shared" si="16"/>
        <v>0</v>
      </c>
      <c r="K80" s="395">
        <f ca="1" t="shared" si="16"/>
        <v>0</v>
      </c>
      <c r="L80" s="395">
        <f ca="1" t="shared" si="16"/>
        <v>0</v>
      </c>
      <c r="M80" s="395">
        <f ca="1" t="shared" si="16"/>
        <v>0</v>
      </c>
      <c r="N80" s="395">
        <f ca="1" t="shared" si="16"/>
        <v>0</v>
      </c>
      <c r="O80" s="395">
        <f ca="1" t="shared" si="16"/>
        <v>0</v>
      </c>
      <c r="P80" s="395">
        <f ca="1" t="shared" si="16"/>
        <v>0</v>
      </c>
    </row>
    <row r="81" spans="1:16">
      <c r="A81" s="20"/>
      <c r="B81" s="20"/>
      <c r="C81" s="20"/>
      <c r="D81" s="20"/>
      <c r="E81" s="395"/>
      <c r="F81" s="395"/>
      <c r="G81" s="395"/>
      <c r="H81" s="395"/>
      <c r="I81" s="395"/>
      <c r="J81" s="395"/>
      <c r="K81" s="395"/>
      <c r="L81" s="395"/>
      <c r="M81" s="395"/>
      <c r="N81" s="395"/>
      <c r="O81" s="395"/>
      <c r="P81" s="395"/>
    </row>
    <row r="82" spans="1:16">
      <c r="A82" s="20" t="s">
        <v>92</v>
      </c>
      <c r="B82" s="20"/>
      <c r="C82" s="20"/>
      <c r="D82" s="20"/>
      <c r="E82" s="395">
        <f>+IF(ISERROR(E60/E31),0,E60/E31)</f>
        <v>0</v>
      </c>
      <c r="F82" s="395">
        <f>+IF(ISERROR(F60/F31),0,F60/F31)</f>
        <v>0</v>
      </c>
      <c r="G82" s="395">
        <f ca="1" t="shared" ref="G82:P82" si="17">+IF(ISERROR(G60/G31),0,G60/G31)</f>
        <v>0</v>
      </c>
      <c r="H82" s="395">
        <f ca="1" t="shared" si="17"/>
        <v>0</v>
      </c>
      <c r="I82" s="395">
        <f ca="1" t="shared" si="17"/>
        <v>0</v>
      </c>
      <c r="J82" s="395">
        <f ca="1" t="shared" si="17"/>
        <v>0</v>
      </c>
      <c r="K82" s="395">
        <f ca="1" t="shared" si="17"/>
        <v>0</v>
      </c>
      <c r="L82" s="395">
        <f ca="1" t="shared" si="17"/>
        <v>0</v>
      </c>
      <c r="M82" s="395">
        <f ca="1" t="shared" si="17"/>
        <v>0</v>
      </c>
      <c r="N82" s="395">
        <f ca="1" t="shared" si="17"/>
        <v>0</v>
      </c>
      <c r="O82" s="395">
        <f ca="1" t="shared" si="17"/>
        <v>0</v>
      </c>
      <c r="P82" s="395">
        <f ca="1" t="shared" si="17"/>
        <v>0</v>
      </c>
    </row>
    <row r="83" spans="1:16">
      <c r="A83" s="96" t="s">
        <v>93</v>
      </c>
      <c r="B83" s="20"/>
      <c r="C83" s="20"/>
      <c r="D83" s="20"/>
      <c r="E83" s="395">
        <f>+IF(ISERROR(E63/E31),0,E63/E31)</f>
        <v>0</v>
      </c>
      <c r="F83" s="395">
        <f>+IF(ISERROR(F63/F31),0,F63/F31)</f>
        <v>0</v>
      </c>
      <c r="G83" s="395">
        <f ca="1" t="shared" ref="G83:P83" si="18">+IF(ISERROR(G63/G31),0,G63/G31)</f>
        <v>0</v>
      </c>
      <c r="H83" s="395">
        <f ca="1" t="shared" si="18"/>
        <v>0</v>
      </c>
      <c r="I83" s="395">
        <f ca="1" t="shared" si="18"/>
        <v>0</v>
      </c>
      <c r="J83" s="395">
        <f ca="1" t="shared" si="18"/>
        <v>0</v>
      </c>
      <c r="K83" s="395">
        <f ca="1" t="shared" si="18"/>
        <v>0</v>
      </c>
      <c r="L83" s="395">
        <f ca="1" t="shared" si="18"/>
        <v>0</v>
      </c>
      <c r="M83" s="395">
        <f ca="1" t="shared" si="18"/>
        <v>0</v>
      </c>
      <c r="N83" s="395">
        <f ca="1" t="shared" si="18"/>
        <v>0</v>
      </c>
      <c r="O83" s="395">
        <f ca="1" t="shared" si="18"/>
        <v>0</v>
      </c>
      <c r="P83" s="395">
        <f ca="1" t="shared" si="18"/>
        <v>0</v>
      </c>
    </row>
    <row r="84" spans="1:16">
      <c r="A84" s="20" t="s">
        <v>94</v>
      </c>
      <c r="B84" s="20"/>
      <c r="C84" s="20"/>
      <c r="D84" s="20"/>
      <c r="E84" s="395">
        <f>+IF(ISERROR(E66/E31),0,E66/E31)</f>
        <v>0</v>
      </c>
      <c r="F84" s="395">
        <f>+IF(ISERROR(F66/F31),0,F66/F31)</f>
        <v>0</v>
      </c>
      <c r="G84" s="395">
        <f ca="1" t="shared" ref="G84:P84" si="19">+IF(ISERROR(G66/G31),0,G66/G31)</f>
        <v>0</v>
      </c>
      <c r="H84" s="395">
        <f ca="1" t="shared" si="19"/>
        <v>0</v>
      </c>
      <c r="I84" s="395">
        <f ca="1" t="shared" si="19"/>
        <v>0</v>
      </c>
      <c r="J84" s="395">
        <f ca="1" t="shared" si="19"/>
        <v>0</v>
      </c>
      <c r="K84" s="395">
        <f ca="1" t="shared" si="19"/>
        <v>0</v>
      </c>
      <c r="L84" s="395">
        <f ca="1" t="shared" si="19"/>
        <v>0</v>
      </c>
      <c r="M84" s="395">
        <f ca="1" t="shared" si="19"/>
        <v>0</v>
      </c>
      <c r="N84" s="395">
        <f ca="1" t="shared" si="19"/>
        <v>0</v>
      </c>
      <c r="O84" s="395">
        <f ca="1" t="shared" si="19"/>
        <v>0</v>
      </c>
      <c r="P84" s="395">
        <f ca="1" t="shared" si="19"/>
        <v>0</v>
      </c>
    </row>
    <row r="85" spans="1:16">
      <c r="A85" s="20" t="s">
        <v>95</v>
      </c>
      <c r="B85" s="20"/>
      <c r="C85" s="20"/>
      <c r="D85" s="20"/>
      <c r="E85" s="395" t="str">
        <f t="shared" ref="E85" si="20">+IF(E66=0,"NM",(E66-E51)/E31)</f>
        <v>NM</v>
      </c>
      <c r="F85" s="395" t="str">
        <f t="shared" ref="F85:P85" si="21">+IF(F66=0,"NM",(F66-F51)/F31)</f>
        <v>NM</v>
      </c>
      <c r="G85" s="395" t="e">
        <f ca="1" t="shared" si="21"/>
        <v>#VALUE!</v>
      </c>
      <c r="H85" s="395" t="e">
        <f ca="1" t="shared" si="21"/>
        <v>#VALUE!</v>
      </c>
      <c r="I85" s="395" t="e">
        <f ca="1" t="shared" si="21"/>
        <v>#VALUE!</v>
      </c>
      <c r="J85" s="395" t="e">
        <f ca="1" t="shared" si="21"/>
        <v>#VALUE!</v>
      </c>
      <c r="K85" s="395" t="e">
        <f ca="1" t="shared" si="21"/>
        <v>#VALUE!</v>
      </c>
      <c r="L85" s="395" t="e">
        <f ca="1" t="shared" si="21"/>
        <v>#VALUE!</v>
      </c>
      <c r="M85" s="395" t="e">
        <f ca="1" t="shared" si="21"/>
        <v>#VALUE!</v>
      </c>
      <c r="N85" s="395" t="e">
        <f ca="1" t="shared" si="21"/>
        <v>#VALUE!</v>
      </c>
      <c r="O85" s="395" t="e">
        <f ca="1" t="shared" si="21"/>
        <v>#VALUE!</v>
      </c>
      <c r="P85" s="395" t="e">
        <f ca="1" t="shared" si="21"/>
        <v>#VALUE!</v>
      </c>
    </row>
  </sheetData>
  <mergeCells count="2">
    <mergeCell ref="A5:P5"/>
    <mergeCell ref="B22:E2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F15"/>
  <sheetViews>
    <sheetView zoomScale="130" zoomScaleNormal="130" workbookViewId="0">
      <selection activeCell="D11" sqref="D11"/>
    </sheetView>
  </sheetViews>
  <sheetFormatPr defaultColWidth="11.4537037037037" defaultRowHeight="14.4" outlineLevelCol="5"/>
  <cols>
    <col min="1" max="1" width="37.1759259259259" customWidth="1"/>
  </cols>
  <sheetData>
    <row r="1" ht="38.15" customHeight="1" spans="1:2">
      <c r="A1" s="7" t="s">
        <v>293</v>
      </c>
      <c r="B1" s="8" t="s">
        <v>294</v>
      </c>
    </row>
    <row r="2" ht="38.15" customHeight="1" spans="1:2">
      <c r="A2" s="7" t="s">
        <v>295</v>
      </c>
      <c r="B2" s="9"/>
    </row>
    <row r="3" ht="38.15" customHeight="1" spans="1:2">
      <c r="A3" s="7" t="s">
        <v>296</v>
      </c>
      <c r="B3" s="9"/>
    </row>
    <row r="4" ht="38.15" customHeight="1" spans="1:2">
      <c r="A4" s="7" t="s">
        <v>297</v>
      </c>
      <c r="B4" s="9"/>
    </row>
    <row r="5" ht="38.15" customHeight="1" spans="1:2">
      <c r="A5" s="7" t="s">
        <v>298</v>
      </c>
      <c r="B5" s="9"/>
    </row>
    <row r="6" ht="38.15" customHeight="1" spans="1:2">
      <c r="A6" s="7" t="s">
        <v>299</v>
      </c>
      <c r="B6" s="9"/>
    </row>
    <row r="7" ht="38.15" customHeight="1" spans="1:2">
      <c r="A7" s="7" t="s">
        <v>300</v>
      </c>
      <c r="B7" s="9"/>
    </row>
    <row r="10" spans="1:6">
      <c r="A10" s="8"/>
      <c r="B10" s="8">
        <v>2022</v>
      </c>
      <c r="C10" s="8">
        <v>2023</v>
      </c>
      <c r="D10" s="8">
        <v>2024</v>
      </c>
      <c r="E10" s="8">
        <v>2025</v>
      </c>
      <c r="F10" s="8">
        <v>2026</v>
      </c>
    </row>
    <row r="11" ht="30" customHeight="1" spans="1:6">
      <c r="A11" s="8" t="s">
        <v>301</v>
      </c>
      <c r="B11" s="10"/>
      <c r="C11" s="10"/>
      <c r="D11" s="10"/>
      <c r="E11" s="11"/>
      <c r="F11" s="10"/>
    </row>
    <row r="14" ht="16" customHeight="1" spans="1:2">
      <c r="A14" s="12" t="s">
        <v>302</v>
      </c>
      <c r="B14" s="13"/>
    </row>
    <row r="15" ht="31" customHeight="1" spans="1:2">
      <c r="A15" s="14" t="s">
        <v>22</v>
      </c>
      <c r="B15" s="9"/>
    </row>
  </sheetData>
  <sheetProtection algorithmName="SHA-512" hashValue="ZvP/enggk0BsHBbHneHyXbntWtTfFQ4OmlSMeJCYPJ5iSoIPZWe5wqgUMmDMuZwmFQ8S5DWuyKoZhYrCeiL/XA==" saltValue="XZNbCNz/2QCovYpaHsJ7oA==" spinCount="100000" sheet="1" selectLockedCells="1" objects="1" scenarios="1"/>
  <mergeCells count="1">
    <mergeCell ref="A14:B14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="130" zoomScaleNormal="130" workbookViewId="0">
      <selection activeCell="C3" sqref="C3"/>
    </sheetView>
  </sheetViews>
  <sheetFormatPr defaultColWidth="11.4537037037037" defaultRowHeight="14.4" outlineLevelCol="4"/>
  <cols>
    <col min="2" max="2" width="25.1759259259259" customWidth="1"/>
    <col min="3" max="3" width="113.175925925926" customWidth="1"/>
  </cols>
  <sheetData>
    <row r="1" spans="1:3">
      <c r="A1" s="1" t="s">
        <v>303</v>
      </c>
      <c r="B1" s="1" t="s">
        <v>304</v>
      </c>
      <c r="C1" s="1" t="s">
        <v>305</v>
      </c>
    </row>
    <row r="2" ht="93" customHeight="1" spans="1:5">
      <c r="A2" s="2">
        <v>1</v>
      </c>
      <c r="B2" s="3" t="s">
        <v>306</v>
      </c>
      <c r="C2" s="4"/>
      <c r="E2" s="5"/>
    </row>
    <row r="3" ht="93" customHeight="1" spans="1:5">
      <c r="A3" s="2">
        <v>2</v>
      </c>
      <c r="B3" s="3" t="s">
        <v>307</v>
      </c>
      <c r="C3" s="4" t="s">
        <v>308</v>
      </c>
      <c r="E3" s="5"/>
    </row>
    <row r="4" ht="93" customHeight="1" spans="1:5">
      <c r="A4" s="2">
        <v>3</v>
      </c>
      <c r="B4" s="3" t="s">
        <v>309</v>
      </c>
      <c r="C4" s="4"/>
      <c r="E4" s="5"/>
    </row>
    <row r="5" ht="93" customHeight="1" spans="1:5">
      <c r="A5" s="2">
        <v>4</v>
      </c>
      <c r="B5" s="3" t="s">
        <v>310</v>
      </c>
      <c r="C5" s="4"/>
      <c r="E5" s="5"/>
    </row>
    <row r="6" ht="93" customHeight="1" spans="1:3">
      <c r="A6" s="2">
        <v>5</v>
      </c>
      <c r="B6" s="3" t="s">
        <v>311</v>
      </c>
      <c r="C6" s="4"/>
    </row>
    <row r="7" ht="93" customHeight="1" spans="1:3">
      <c r="A7" s="2">
        <v>6</v>
      </c>
      <c r="B7" s="3" t="s">
        <v>312</v>
      </c>
      <c r="C7" s="4"/>
    </row>
    <row r="8" ht="93" customHeight="1" spans="1:3">
      <c r="A8" s="2">
        <v>7</v>
      </c>
      <c r="B8" s="3" t="s">
        <v>313</v>
      </c>
      <c r="C8" s="4"/>
    </row>
    <row r="9" spans="1:3">
      <c r="A9" s="6"/>
      <c r="B9" s="6"/>
      <c r="C9" s="6"/>
    </row>
  </sheetData>
  <sheetProtection algorithmName="SHA-512" hashValue="KcFnvtba2WDNS8tJLeyOsfptcR9im8N7tPQ3Jmq2slj4ounLs0/vmN4Mf68ocifzIlbZLQ+mhmCsh/EV/C9rBg==" saltValue="fNzh2I8FpcYfmA3L3Q18tg==" spinCount="100000" sheet="1" selectLockedCells="1" objects="1" scenarios="1"/>
  <dataValidations count="1">
    <dataValidation type="textLength" operator="lessThanOrEqual" allowBlank="1" showInputMessage="1" showErrorMessage="1" sqref="C2:C8">
      <formula1>740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56"/>
  <sheetViews>
    <sheetView showGridLines="0" topLeftCell="A9" workbookViewId="0">
      <selection activeCell="G33" sqref="G33"/>
    </sheetView>
  </sheetViews>
  <sheetFormatPr defaultColWidth="8.81481481481481" defaultRowHeight="14.4"/>
  <cols>
    <col min="1" max="1" width="37.8148148148148" customWidth="1"/>
    <col min="2" max="16" width="11.1759259259259" customWidth="1"/>
  </cols>
  <sheetData>
    <row r="1" ht="24.6" spans="1:16">
      <c r="A1" s="174" t="str">
        <f>+TS!A1</f>
        <v>Target_Co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211"/>
      <c r="P1" s="211"/>
    </row>
    <row r="2" ht="15.6" spans="1:16">
      <c r="A2" s="15" t="s">
        <v>96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258"/>
    </row>
    <row r="3" spans="1:16">
      <c r="A3" s="177" t="str">
        <f>+TS!A3</f>
        <v>($ in millions, fiscal year ending April 30)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8"/>
      <c r="M3" s="175"/>
      <c r="N3" s="212"/>
      <c r="O3" s="211"/>
      <c r="P3" s="211"/>
    </row>
    <row r="4" spans="1:16">
      <c r="A4" s="185"/>
      <c r="B4" s="216" t="s">
        <v>54</v>
      </c>
      <c r="C4" s="216"/>
      <c r="D4" s="216"/>
      <c r="E4" s="216"/>
      <c r="F4" s="335"/>
      <c r="G4" s="216" t="s">
        <v>55</v>
      </c>
      <c r="H4" s="217"/>
      <c r="I4" s="217"/>
      <c r="J4" s="217"/>
      <c r="K4" s="217"/>
      <c r="L4" s="217"/>
      <c r="M4" s="217"/>
      <c r="N4" s="217"/>
      <c r="O4" s="217"/>
      <c r="P4" s="216"/>
    </row>
    <row r="5" spans="1:16">
      <c r="A5" s="185"/>
      <c r="B5" s="20"/>
      <c r="C5" s="20"/>
      <c r="D5" s="20"/>
      <c r="E5" s="336" t="s">
        <v>56</v>
      </c>
      <c r="F5" s="337" t="s">
        <v>57</v>
      </c>
      <c r="G5" s="106">
        <v>1</v>
      </c>
      <c r="H5" s="106">
        <v>2</v>
      </c>
      <c r="I5" s="106">
        <v>3</v>
      </c>
      <c r="J5" s="106">
        <v>4</v>
      </c>
      <c r="K5" s="106">
        <v>5</v>
      </c>
      <c r="L5" s="106">
        <v>6</v>
      </c>
      <c r="M5" s="106">
        <v>7</v>
      </c>
      <c r="N5" s="106">
        <v>8</v>
      </c>
      <c r="O5" s="106">
        <v>9</v>
      </c>
      <c r="P5" s="106">
        <v>10</v>
      </c>
    </row>
    <row r="6" spans="1:16">
      <c r="A6" s="185"/>
      <c r="B6" s="107">
        <f>+TS!B24</f>
        <v>2021</v>
      </c>
      <c r="C6" s="107">
        <f>+TS!C24</f>
        <v>2022</v>
      </c>
      <c r="D6" s="107">
        <f>+TS!D24</f>
        <v>2023</v>
      </c>
      <c r="E6" s="461" t="str">
        <f>+TS!E24</f>
        <v>30/6/23</v>
      </c>
      <c r="F6" s="107">
        <f>+TS!F24</f>
        <v>2024</v>
      </c>
      <c r="G6" s="107">
        <f>+TS!G24</f>
        <v>2025</v>
      </c>
      <c r="H6" s="107">
        <f>+TS!H24</f>
        <v>2026</v>
      </c>
      <c r="I6" s="107">
        <f>+TS!I24</f>
        <v>2027</v>
      </c>
      <c r="J6" s="107">
        <f>+TS!J24</f>
        <v>2028</v>
      </c>
      <c r="K6" s="107">
        <f>+TS!K24</f>
        <v>2029</v>
      </c>
      <c r="L6" s="107">
        <f>+TS!L24</f>
        <v>2030</v>
      </c>
      <c r="M6" s="107">
        <f>+TS!M24</f>
        <v>2031</v>
      </c>
      <c r="N6" s="107">
        <f>+TS!N24</f>
        <v>2032</v>
      </c>
      <c r="O6" s="107">
        <f>+TS!O24</f>
        <v>2033</v>
      </c>
      <c r="P6" s="107">
        <f>+TS!P24</f>
        <v>2034</v>
      </c>
    </row>
    <row r="7" spans="1:16">
      <c r="A7" s="219" t="s">
        <v>59</v>
      </c>
      <c r="B7" s="339">
        <v>0</v>
      </c>
      <c r="C7" s="339">
        <v>0</v>
      </c>
      <c r="D7" s="339">
        <v>0</v>
      </c>
      <c r="E7" s="340">
        <v>0</v>
      </c>
      <c r="F7" s="298">
        <f>+E7*(1+F49)</f>
        <v>0</v>
      </c>
      <c r="G7" s="298">
        <f>+F7*(1+G49)</f>
        <v>0</v>
      </c>
      <c r="H7" s="298">
        <f t="shared" ref="H7:P7" si="0">+G7*(1+H49)</f>
        <v>0</v>
      </c>
      <c r="I7" s="298">
        <f t="shared" si="0"/>
        <v>0</v>
      </c>
      <c r="J7" s="298">
        <f t="shared" si="0"/>
        <v>0</v>
      </c>
      <c r="K7" s="298">
        <f t="shared" si="0"/>
        <v>0</v>
      </c>
      <c r="L7" s="298">
        <f t="shared" si="0"/>
        <v>0</v>
      </c>
      <c r="M7" s="298">
        <f t="shared" si="0"/>
        <v>0</v>
      </c>
      <c r="N7" s="298">
        <f t="shared" si="0"/>
        <v>0</v>
      </c>
      <c r="O7" s="298">
        <f t="shared" si="0"/>
        <v>0</v>
      </c>
      <c r="P7" s="298">
        <f t="shared" si="0"/>
        <v>0</v>
      </c>
    </row>
    <row r="8" spans="1:16">
      <c r="A8" s="341" t="s">
        <v>60</v>
      </c>
      <c r="B8" s="342" t="s">
        <v>97</v>
      </c>
      <c r="C8" s="342">
        <f>+IF(ISERROR(C7/B7-1),0,C7/B7-1)</f>
        <v>0</v>
      </c>
      <c r="D8" s="342">
        <f>+IF(ISERROR(D7/C7-1),0,D7/C7-1)</f>
        <v>0</v>
      </c>
      <c r="E8" s="343">
        <f>+IF(ISERROR(E7/D7-1),0,E7/D7-1)</f>
        <v>0</v>
      </c>
      <c r="F8" s="342">
        <f>+IF(ISERROR(F7/D7-1),0,F7/D7-1)</f>
        <v>0</v>
      </c>
      <c r="G8" s="342">
        <f t="shared" ref="G8:P8" si="1">+IF(ISERROR(G7/F7-1),0,G7/F7-1)</f>
        <v>0</v>
      </c>
      <c r="H8" s="342">
        <f t="shared" si="1"/>
        <v>0</v>
      </c>
      <c r="I8" s="342">
        <f t="shared" si="1"/>
        <v>0</v>
      </c>
      <c r="J8" s="342">
        <f t="shared" si="1"/>
        <v>0</v>
      </c>
      <c r="K8" s="342">
        <f t="shared" si="1"/>
        <v>0</v>
      </c>
      <c r="L8" s="342">
        <f t="shared" si="1"/>
        <v>0</v>
      </c>
      <c r="M8" s="342">
        <f t="shared" si="1"/>
        <v>0</v>
      </c>
      <c r="N8" s="342">
        <f t="shared" si="1"/>
        <v>0</v>
      </c>
      <c r="O8" s="342">
        <f t="shared" si="1"/>
        <v>0</v>
      </c>
      <c r="P8" s="342">
        <f t="shared" si="1"/>
        <v>0</v>
      </c>
    </row>
    <row r="9" spans="1:16">
      <c r="A9" s="341"/>
      <c r="B9" s="344"/>
      <c r="C9" s="344"/>
      <c r="D9" s="344"/>
      <c r="E9" s="345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</row>
    <row r="10" spans="1:16">
      <c r="A10" s="221" t="s">
        <v>98</v>
      </c>
      <c r="B10" s="46">
        <v>0</v>
      </c>
      <c r="C10" s="46">
        <v>0</v>
      </c>
      <c r="D10" s="46">
        <v>0</v>
      </c>
      <c r="E10" s="47">
        <v>0</v>
      </c>
      <c r="F10" s="191">
        <f t="shared" ref="F10:P10" si="2">+F7*F50</f>
        <v>0</v>
      </c>
      <c r="G10" s="191">
        <f t="shared" si="2"/>
        <v>0</v>
      </c>
      <c r="H10" s="191">
        <f t="shared" si="2"/>
        <v>0</v>
      </c>
      <c r="I10" s="191">
        <f t="shared" si="2"/>
        <v>0</v>
      </c>
      <c r="J10" s="191">
        <f t="shared" si="2"/>
        <v>0</v>
      </c>
      <c r="K10" s="191">
        <f t="shared" si="2"/>
        <v>0</v>
      </c>
      <c r="L10" s="191">
        <f t="shared" si="2"/>
        <v>0</v>
      </c>
      <c r="M10" s="191">
        <f t="shared" si="2"/>
        <v>0</v>
      </c>
      <c r="N10" s="191">
        <f t="shared" si="2"/>
        <v>0</v>
      </c>
      <c r="O10" s="191">
        <f t="shared" si="2"/>
        <v>0</v>
      </c>
      <c r="P10" s="191">
        <f t="shared" si="2"/>
        <v>0</v>
      </c>
    </row>
    <row r="11" spans="1:16">
      <c r="A11" s="219" t="s">
        <v>61</v>
      </c>
      <c r="B11" s="298">
        <f>+B7-B10</f>
        <v>0</v>
      </c>
      <c r="C11" s="298">
        <f t="shared" ref="C11:P11" si="3">+C7-C10</f>
        <v>0</v>
      </c>
      <c r="D11" s="298">
        <f t="shared" si="3"/>
        <v>0</v>
      </c>
      <c r="E11" s="346">
        <f t="shared" si="3"/>
        <v>0</v>
      </c>
      <c r="F11" s="298">
        <f t="shared" si="3"/>
        <v>0</v>
      </c>
      <c r="G11" s="298">
        <f t="shared" si="3"/>
        <v>0</v>
      </c>
      <c r="H11" s="298">
        <f t="shared" si="3"/>
        <v>0</v>
      </c>
      <c r="I11" s="298">
        <f t="shared" si="3"/>
        <v>0</v>
      </c>
      <c r="J11" s="298">
        <f t="shared" si="3"/>
        <v>0</v>
      </c>
      <c r="K11" s="298">
        <f t="shared" si="3"/>
        <v>0</v>
      </c>
      <c r="L11" s="298">
        <f t="shared" si="3"/>
        <v>0</v>
      </c>
      <c r="M11" s="298">
        <f t="shared" si="3"/>
        <v>0</v>
      </c>
      <c r="N11" s="298">
        <f t="shared" si="3"/>
        <v>0</v>
      </c>
      <c r="O11" s="298">
        <f t="shared" si="3"/>
        <v>0</v>
      </c>
      <c r="P11" s="298">
        <f t="shared" si="3"/>
        <v>0</v>
      </c>
    </row>
    <row r="12" spans="1:16">
      <c r="A12" s="341" t="s">
        <v>62</v>
      </c>
      <c r="B12" s="342">
        <f>+IF(ISERROR(B11/B7),0,B11/B7)</f>
        <v>0</v>
      </c>
      <c r="C12" s="342">
        <f t="shared" ref="C12:P12" si="4">+IF(ISERROR(C11/C7),0,C11/C7)</f>
        <v>0</v>
      </c>
      <c r="D12" s="342">
        <f t="shared" si="4"/>
        <v>0</v>
      </c>
      <c r="E12" s="343">
        <f t="shared" si="4"/>
        <v>0</v>
      </c>
      <c r="F12" s="342">
        <f t="shared" si="4"/>
        <v>0</v>
      </c>
      <c r="G12" s="342">
        <f t="shared" si="4"/>
        <v>0</v>
      </c>
      <c r="H12" s="342">
        <f t="shared" si="4"/>
        <v>0</v>
      </c>
      <c r="I12" s="342">
        <f t="shared" si="4"/>
        <v>0</v>
      </c>
      <c r="J12" s="342">
        <f t="shared" si="4"/>
        <v>0</v>
      </c>
      <c r="K12" s="342">
        <f t="shared" si="4"/>
        <v>0</v>
      </c>
      <c r="L12" s="342">
        <f t="shared" si="4"/>
        <v>0</v>
      </c>
      <c r="M12" s="342">
        <f t="shared" si="4"/>
        <v>0</v>
      </c>
      <c r="N12" s="342">
        <f t="shared" si="4"/>
        <v>0</v>
      </c>
      <c r="O12" s="342">
        <f t="shared" si="4"/>
        <v>0</v>
      </c>
      <c r="P12" s="342">
        <f t="shared" si="4"/>
        <v>0</v>
      </c>
    </row>
    <row r="13" spans="1:16">
      <c r="A13" s="341"/>
      <c r="B13" s="344"/>
      <c r="C13" s="344"/>
      <c r="D13" s="344"/>
      <c r="E13" s="347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</row>
    <row r="14" spans="1:16">
      <c r="A14" s="221" t="s">
        <v>99</v>
      </c>
      <c r="B14" s="37">
        <v>0</v>
      </c>
      <c r="C14" s="37">
        <v>0</v>
      </c>
      <c r="D14" s="37">
        <v>0</v>
      </c>
      <c r="E14" s="38">
        <v>0</v>
      </c>
      <c r="F14" s="196">
        <f t="shared" ref="F14:P14" si="5">+F7*F51</f>
        <v>0</v>
      </c>
      <c r="G14" s="196">
        <f t="shared" si="5"/>
        <v>0</v>
      </c>
      <c r="H14" s="196">
        <f t="shared" si="5"/>
        <v>0</v>
      </c>
      <c r="I14" s="196">
        <f t="shared" si="5"/>
        <v>0</v>
      </c>
      <c r="J14" s="196">
        <f t="shared" si="5"/>
        <v>0</v>
      </c>
      <c r="K14" s="196">
        <f t="shared" si="5"/>
        <v>0</v>
      </c>
      <c r="L14" s="196">
        <f t="shared" si="5"/>
        <v>0</v>
      </c>
      <c r="M14" s="196">
        <f t="shared" si="5"/>
        <v>0</v>
      </c>
      <c r="N14" s="196">
        <f t="shared" si="5"/>
        <v>0</v>
      </c>
      <c r="O14" s="196">
        <f t="shared" si="5"/>
        <v>0</v>
      </c>
      <c r="P14" s="196">
        <f t="shared" si="5"/>
        <v>0</v>
      </c>
    </row>
    <row r="15" spans="1:16">
      <c r="A15" s="341" t="s">
        <v>65</v>
      </c>
      <c r="B15" s="342">
        <f>+IF(ISERROR(B14/B7),0,B14/B7)</f>
        <v>0</v>
      </c>
      <c r="C15" s="342">
        <f t="shared" ref="C15:P15" si="6">+IF(ISERROR(C14/C7),0,C14/C7)</f>
        <v>0</v>
      </c>
      <c r="D15" s="342">
        <f t="shared" si="6"/>
        <v>0</v>
      </c>
      <c r="E15" s="343">
        <f t="shared" si="6"/>
        <v>0</v>
      </c>
      <c r="F15" s="342">
        <f t="shared" si="6"/>
        <v>0</v>
      </c>
      <c r="G15" s="342">
        <f t="shared" si="6"/>
        <v>0</v>
      </c>
      <c r="H15" s="342">
        <f t="shared" si="6"/>
        <v>0</v>
      </c>
      <c r="I15" s="342">
        <f t="shared" si="6"/>
        <v>0</v>
      </c>
      <c r="J15" s="342">
        <f t="shared" si="6"/>
        <v>0</v>
      </c>
      <c r="K15" s="342">
        <f t="shared" si="6"/>
        <v>0</v>
      </c>
      <c r="L15" s="342">
        <f t="shared" si="6"/>
        <v>0</v>
      </c>
      <c r="M15" s="342">
        <f t="shared" si="6"/>
        <v>0</v>
      </c>
      <c r="N15" s="342">
        <f t="shared" si="6"/>
        <v>0</v>
      </c>
      <c r="O15" s="342">
        <f t="shared" si="6"/>
        <v>0</v>
      </c>
      <c r="P15" s="342">
        <f t="shared" si="6"/>
        <v>0</v>
      </c>
    </row>
    <row r="16" spans="1:16">
      <c r="A16" s="221"/>
      <c r="B16" s="348"/>
      <c r="C16" s="348"/>
      <c r="D16" s="348"/>
      <c r="E16" s="349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</row>
    <row r="17" spans="1:16">
      <c r="A17" s="221" t="s">
        <v>100</v>
      </c>
      <c r="B17" s="46">
        <v>0</v>
      </c>
      <c r="C17" s="46">
        <v>0</v>
      </c>
      <c r="D17" s="46">
        <v>0</v>
      </c>
      <c r="E17" s="47">
        <v>0</v>
      </c>
      <c r="F17" s="191">
        <f t="shared" ref="F17:P17" si="7">+F7*F52</f>
        <v>0</v>
      </c>
      <c r="G17" s="191">
        <f t="shared" si="7"/>
        <v>0</v>
      </c>
      <c r="H17" s="191">
        <f t="shared" si="7"/>
        <v>0</v>
      </c>
      <c r="I17" s="191">
        <f t="shared" si="7"/>
        <v>0</v>
      </c>
      <c r="J17" s="191">
        <f t="shared" si="7"/>
        <v>0</v>
      </c>
      <c r="K17" s="191">
        <f t="shared" si="7"/>
        <v>0</v>
      </c>
      <c r="L17" s="191">
        <f t="shared" si="7"/>
        <v>0</v>
      </c>
      <c r="M17" s="191">
        <f t="shared" si="7"/>
        <v>0</v>
      </c>
      <c r="N17" s="191">
        <f t="shared" si="7"/>
        <v>0</v>
      </c>
      <c r="O17" s="191">
        <f t="shared" si="7"/>
        <v>0</v>
      </c>
      <c r="P17" s="191">
        <f t="shared" si="7"/>
        <v>0</v>
      </c>
    </row>
    <row r="18" spans="1:16">
      <c r="A18" s="219" t="s">
        <v>63</v>
      </c>
      <c r="B18" s="298">
        <f>+B11-B14-B17</f>
        <v>0</v>
      </c>
      <c r="C18" s="298">
        <f t="shared" ref="C18:P18" si="8">+C11-C14-C17</f>
        <v>0</v>
      </c>
      <c r="D18" s="298">
        <f t="shared" si="8"/>
        <v>0</v>
      </c>
      <c r="E18" s="346">
        <f t="shared" si="8"/>
        <v>0</v>
      </c>
      <c r="F18" s="298">
        <f t="shared" si="8"/>
        <v>0</v>
      </c>
      <c r="G18" s="298">
        <f t="shared" si="8"/>
        <v>0</v>
      </c>
      <c r="H18" s="298">
        <f t="shared" si="8"/>
        <v>0</v>
      </c>
      <c r="I18" s="298">
        <f t="shared" si="8"/>
        <v>0</v>
      </c>
      <c r="J18" s="298">
        <f t="shared" si="8"/>
        <v>0</v>
      </c>
      <c r="K18" s="298">
        <f t="shared" si="8"/>
        <v>0</v>
      </c>
      <c r="L18" s="298">
        <f t="shared" si="8"/>
        <v>0</v>
      </c>
      <c r="M18" s="298">
        <f t="shared" si="8"/>
        <v>0</v>
      </c>
      <c r="N18" s="298">
        <f t="shared" si="8"/>
        <v>0</v>
      </c>
      <c r="O18" s="298">
        <f t="shared" si="8"/>
        <v>0</v>
      </c>
      <c r="P18" s="298">
        <f t="shared" si="8"/>
        <v>0</v>
      </c>
    </row>
    <row r="19" spans="1:16">
      <c r="A19" s="341" t="s">
        <v>62</v>
      </c>
      <c r="B19" s="342">
        <f>+IF(ISERROR(B18/B7),0,B18/B7)</f>
        <v>0</v>
      </c>
      <c r="C19" s="342">
        <f t="shared" ref="C19:P19" si="9">+IF(ISERROR(C18/C7),0,C18/C7)</f>
        <v>0</v>
      </c>
      <c r="D19" s="342">
        <f t="shared" si="9"/>
        <v>0</v>
      </c>
      <c r="E19" s="343">
        <f t="shared" si="9"/>
        <v>0</v>
      </c>
      <c r="F19" s="342">
        <f t="shared" si="9"/>
        <v>0</v>
      </c>
      <c r="G19" s="342">
        <f t="shared" si="9"/>
        <v>0</v>
      </c>
      <c r="H19" s="342">
        <f t="shared" si="9"/>
        <v>0</v>
      </c>
      <c r="I19" s="342">
        <f t="shared" si="9"/>
        <v>0</v>
      </c>
      <c r="J19" s="342">
        <f t="shared" si="9"/>
        <v>0</v>
      </c>
      <c r="K19" s="342">
        <f t="shared" si="9"/>
        <v>0</v>
      </c>
      <c r="L19" s="342">
        <f t="shared" si="9"/>
        <v>0</v>
      </c>
      <c r="M19" s="342">
        <f t="shared" si="9"/>
        <v>0</v>
      </c>
      <c r="N19" s="342">
        <f t="shared" si="9"/>
        <v>0</v>
      </c>
      <c r="O19" s="342">
        <f t="shared" si="9"/>
        <v>0</v>
      </c>
      <c r="P19" s="342">
        <f t="shared" si="9"/>
        <v>0</v>
      </c>
    </row>
    <row r="20" spans="1:16">
      <c r="A20" s="219"/>
      <c r="B20" s="350"/>
      <c r="C20" s="350"/>
      <c r="D20" s="350"/>
      <c r="E20" s="351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</row>
    <row r="21" spans="1:16">
      <c r="A21" s="221" t="s">
        <v>101</v>
      </c>
      <c r="B21" s="37">
        <v>0</v>
      </c>
      <c r="C21" s="37">
        <v>0</v>
      </c>
      <c r="D21" s="37">
        <v>0</v>
      </c>
      <c r="E21" s="38">
        <v>0</v>
      </c>
      <c r="F21" s="196">
        <f t="shared" ref="F21:P21" si="10">+F7*F53</f>
        <v>0</v>
      </c>
      <c r="G21" s="196">
        <f t="shared" si="10"/>
        <v>0</v>
      </c>
      <c r="H21" s="196">
        <f t="shared" si="10"/>
        <v>0</v>
      </c>
      <c r="I21" s="196">
        <f t="shared" si="10"/>
        <v>0</v>
      </c>
      <c r="J21" s="196">
        <f t="shared" si="10"/>
        <v>0</v>
      </c>
      <c r="K21" s="196">
        <f t="shared" si="10"/>
        <v>0</v>
      </c>
      <c r="L21" s="196">
        <f t="shared" si="10"/>
        <v>0</v>
      </c>
      <c r="M21" s="196">
        <f t="shared" si="10"/>
        <v>0</v>
      </c>
      <c r="N21" s="196">
        <f t="shared" si="10"/>
        <v>0</v>
      </c>
      <c r="O21" s="196">
        <f t="shared" si="10"/>
        <v>0</v>
      </c>
      <c r="P21" s="196">
        <f t="shared" si="10"/>
        <v>0</v>
      </c>
    </row>
    <row r="22" spans="1:16">
      <c r="A22" s="221" t="s">
        <v>102</v>
      </c>
      <c r="B22" s="46">
        <v>0</v>
      </c>
      <c r="C22" s="46">
        <v>0</v>
      </c>
      <c r="D22" s="46">
        <v>0</v>
      </c>
      <c r="E22" s="47">
        <v>0</v>
      </c>
      <c r="F22" s="191">
        <f t="shared" ref="F22:P22" si="11">+F7*F54</f>
        <v>0</v>
      </c>
      <c r="G22" s="191">
        <f t="shared" si="11"/>
        <v>0</v>
      </c>
      <c r="H22" s="191">
        <f t="shared" si="11"/>
        <v>0</v>
      </c>
      <c r="I22" s="191">
        <f t="shared" si="11"/>
        <v>0</v>
      </c>
      <c r="J22" s="191">
        <f t="shared" si="11"/>
        <v>0</v>
      </c>
      <c r="K22" s="191">
        <f t="shared" si="11"/>
        <v>0</v>
      </c>
      <c r="L22" s="191">
        <f t="shared" si="11"/>
        <v>0</v>
      </c>
      <c r="M22" s="191">
        <f t="shared" si="11"/>
        <v>0</v>
      </c>
      <c r="N22" s="191">
        <f t="shared" si="11"/>
        <v>0</v>
      </c>
      <c r="O22" s="191">
        <f t="shared" si="11"/>
        <v>0</v>
      </c>
      <c r="P22" s="191">
        <f t="shared" si="11"/>
        <v>0</v>
      </c>
    </row>
    <row r="23" spans="1:16">
      <c r="A23" s="219" t="s">
        <v>103</v>
      </c>
      <c r="B23" s="298">
        <f>+B18-B21-B22</f>
        <v>0</v>
      </c>
      <c r="C23" s="298">
        <f t="shared" ref="C23:P23" si="12">+C18-C21-C22</f>
        <v>0</v>
      </c>
      <c r="D23" s="298">
        <f t="shared" si="12"/>
        <v>0</v>
      </c>
      <c r="E23" s="346">
        <f t="shared" si="12"/>
        <v>0</v>
      </c>
      <c r="F23" s="298">
        <f t="shared" si="12"/>
        <v>0</v>
      </c>
      <c r="G23" s="298">
        <f t="shared" si="12"/>
        <v>0</v>
      </c>
      <c r="H23" s="298">
        <f t="shared" si="12"/>
        <v>0</v>
      </c>
      <c r="I23" s="298">
        <f t="shared" si="12"/>
        <v>0</v>
      </c>
      <c r="J23" s="298">
        <f t="shared" si="12"/>
        <v>0</v>
      </c>
      <c r="K23" s="298">
        <f t="shared" si="12"/>
        <v>0</v>
      </c>
      <c r="L23" s="298">
        <f t="shared" si="12"/>
        <v>0</v>
      </c>
      <c r="M23" s="298">
        <f t="shared" si="12"/>
        <v>0</v>
      </c>
      <c r="N23" s="298">
        <f t="shared" si="12"/>
        <v>0</v>
      </c>
      <c r="O23" s="298">
        <f t="shared" si="12"/>
        <v>0</v>
      </c>
      <c r="P23" s="298">
        <f t="shared" si="12"/>
        <v>0</v>
      </c>
    </row>
    <row r="24" spans="1:16">
      <c r="A24" s="341" t="s">
        <v>62</v>
      </c>
      <c r="B24" s="342">
        <f>+IF(ISERROR(B23/B7),0,B23/B7)</f>
        <v>0</v>
      </c>
      <c r="C24" s="342">
        <f t="shared" ref="C24:P24" si="13">+IF(ISERROR(C23/C7),0,C23/C7)</f>
        <v>0</v>
      </c>
      <c r="D24" s="342">
        <f t="shared" si="13"/>
        <v>0</v>
      </c>
      <c r="E24" s="352">
        <f t="shared" si="13"/>
        <v>0</v>
      </c>
      <c r="F24" s="342">
        <f t="shared" si="13"/>
        <v>0</v>
      </c>
      <c r="G24" s="342">
        <f t="shared" si="13"/>
        <v>0</v>
      </c>
      <c r="H24" s="342">
        <f t="shared" si="13"/>
        <v>0</v>
      </c>
      <c r="I24" s="342">
        <f t="shared" si="13"/>
        <v>0</v>
      </c>
      <c r="J24" s="342">
        <f t="shared" si="13"/>
        <v>0</v>
      </c>
      <c r="K24" s="342">
        <f t="shared" si="13"/>
        <v>0</v>
      </c>
      <c r="L24" s="342">
        <f t="shared" si="13"/>
        <v>0</v>
      </c>
      <c r="M24" s="342">
        <f t="shared" si="13"/>
        <v>0</v>
      </c>
      <c r="N24" s="342">
        <f t="shared" si="13"/>
        <v>0</v>
      </c>
      <c r="O24" s="342">
        <f t="shared" si="13"/>
        <v>0</v>
      </c>
      <c r="P24" s="342">
        <f t="shared" si="13"/>
        <v>0</v>
      </c>
    </row>
    <row r="25" spans="1:16">
      <c r="A25" s="219"/>
      <c r="B25" s="280"/>
      <c r="C25" s="280"/>
      <c r="D25" s="280"/>
      <c r="E25" s="353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</row>
    <row r="26" spans="1:16">
      <c r="A26" s="232" t="s">
        <v>104</v>
      </c>
      <c r="B26" s="354"/>
      <c r="C26" s="354"/>
      <c r="D26" s="354"/>
      <c r="E26" s="268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</row>
    <row r="27" spans="1:16">
      <c r="A27" s="221" t="s">
        <v>19</v>
      </c>
      <c r="B27" s="354"/>
      <c r="C27" s="354"/>
      <c r="D27" s="354"/>
      <c r="E27" s="196"/>
      <c r="F27" s="208">
        <f>+BS!E25*(DS!B7+DS!B19)</f>
        <v>0</v>
      </c>
      <c r="G27" s="208" t="e">
        <f ca="1">+DS!C29</f>
        <v>#VALUE!</v>
      </c>
      <c r="H27" s="208" t="e">
        <f ca="1">+DS!D29</f>
        <v>#VALUE!</v>
      </c>
      <c r="I27" s="208" t="e">
        <f ca="1">+DS!E29</f>
        <v>#VALUE!</v>
      </c>
      <c r="J27" s="208" t="e">
        <f ca="1">+DS!F29</f>
        <v>#VALUE!</v>
      </c>
      <c r="K27" s="208" t="e">
        <f ca="1">+DS!G29</f>
        <v>#VALUE!</v>
      </c>
      <c r="L27" s="208" t="e">
        <f ca="1">+DS!H29</f>
        <v>#VALUE!</v>
      </c>
      <c r="M27" s="208" t="e">
        <f ca="1">+DS!I29</f>
        <v>#VALUE!</v>
      </c>
      <c r="N27" s="208" t="e">
        <f ca="1">+DS!J29</f>
        <v>#VALUE!</v>
      </c>
      <c r="O27" s="208" t="e">
        <f ca="1">+DS!K29</f>
        <v>#VALUE!</v>
      </c>
      <c r="P27" s="208" t="e">
        <f ca="1">+DS!L29</f>
        <v>#VALUE!</v>
      </c>
    </row>
    <row r="28" spans="1:16">
      <c r="A28" s="221" t="s">
        <v>23</v>
      </c>
      <c r="B28" s="354"/>
      <c r="C28" s="354"/>
      <c r="D28" s="354"/>
      <c r="E28" s="196"/>
      <c r="F28" s="208">
        <f>BS!E26*(DS!B7+DS!B35)</f>
        <v>0</v>
      </c>
      <c r="G28" s="208">
        <f ca="1">DS!C45</f>
        <v>0</v>
      </c>
      <c r="H28" s="208">
        <f ca="1">DS!D45</f>
        <v>0</v>
      </c>
      <c r="I28" s="208">
        <f ca="1">DS!E45</f>
        <v>0</v>
      </c>
      <c r="J28" s="208">
        <f ca="1">DS!F45</f>
        <v>0</v>
      </c>
      <c r="K28" s="208">
        <f ca="1">DS!G45</f>
        <v>0</v>
      </c>
      <c r="L28" s="208">
        <f ca="1">DS!H45</f>
        <v>0</v>
      </c>
      <c r="M28" s="208">
        <f ca="1">DS!I45</f>
        <v>0</v>
      </c>
      <c r="N28" s="208">
        <f ca="1">DS!J45</f>
        <v>0</v>
      </c>
      <c r="O28" s="208">
        <f ca="1">DS!K45</f>
        <v>0</v>
      </c>
      <c r="P28" s="208">
        <f ca="1">DS!L45</f>
        <v>0</v>
      </c>
    </row>
    <row r="29" spans="1:16">
      <c r="A29" s="221" t="s">
        <v>27</v>
      </c>
      <c r="B29" s="354"/>
      <c r="C29" s="355"/>
      <c r="D29" s="354"/>
      <c r="E29" s="196"/>
      <c r="F29" s="208">
        <f>+BS!E27*(DS!B49+DS!B50)</f>
        <v>0</v>
      </c>
      <c r="G29" s="208">
        <f ca="1">+DS!C60</f>
        <v>0</v>
      </c>
      <c r="H29" s="208">
        <f ca="1">+DS!D60</f>
        <v>0</v>
      </c>
      <c r="I29" s="208">
        <f ca="1">+DS!E60</f>
        <v>0</v>
      </c>
      <c r="J29" s="208">
        <f ca="1">+DS!F60</f>
        <v>0</v>
      </c>
      <c r="K29" s="208">
        <f ca="1">+DS!G60</f>
        <v>0</v>
      </c>
      <c r="L29" s="208">
        <f ca="1">+DS!H60</f>
        <v>0</v>
      </c>
      <c r="M29" s="208">
        <f ca="1">+DS!I60</f>
        <v>0</v>
      </c>
      <c r="N29" s="208">
        <f ca="1">+DS!J60</f>
        <v>0</v>
      </c>
      <c r="O29" s="208">
        <f ca="1">+DS!K60</f>
        <v>0</v>
      </c>
      <c r="P29" s="208">
        <f ca="1">+DS!L60</f>
        <v>0</v>
      </c>
    </row>
    <row r="30" spans="1:16">
      <c r="A30" s="221" t="s">
        <v>31</v>
      </c>
      <c r="B30" s="354"/>
      <c r="C30" s="354"/>
      <c r="D30" s="354"/>
      <c r="E30" s="196"/>
      <c r="F30" s="208">
        <f>+BS!E28*(DS!B7+DS!B64)</f>
        <v>0</v>
      </c>
      <c r="G30" s="208">
        <f ca="1">+DS!C75</f>
        <v>0</v>
      </c>
      <c r="H30" s="208">
        <f ca="1">+DS!D75</f>
        <v>0</v>
      </c>
      <c r="I30" s="208">
        <f ca="1">+DS!E75</f>
        <v>0</v>
      </c>
      <c r="J30" s="208">
        <f ca="1">+DS!F75</f>
        <v>0</v>
      </c>
      <c r="K30" s="208">
        <f ca="1">+DS!G75</f>
        <v>0</v>
      </c>
      <c r="L30" s="208">
        <f ca="1">+DS!H75</f>
        <v>0</v>
      </c>
      <c r="M30" s="208">
        <f ca="1">+DS!I75</f>
        <v>0</v>
      </c>
      <c r="N30" s="208">
        <f ca="1">+DS!J75</f>
        <v>0</v>
      </c>
      <c r="O30" s="208">
        <f ca="1">+DS!K75</f>
        <v>0</v>
      </c>
      <c r="P30" s="208">
        <f ca="1">+DS!L75</f>
        <v>0</v>
      </c>
    </row>
    <row r="31" spans="1:16">
      <c r="A31" s="286" t="s">
        <v>78</v>
      </c>
      <c r="B31" s="354"/>
      <c r="C31" s="354"/>
      <c r="D31" s="196"/>
      <c r="E31" s="356"/>
      <c r="F31" s="208">
        <f ca="1">G31</f>
        <v>0</v>
      </c>
      <c r="G31" s="208">
        <f ca="1">DS!C90</f>
        <v>0</v>
      </c>
      <c r="H31" s="208">
        <f ca="1">DS!D90</f>
        <v>0</v>
      </c>
      <c r="I31" s="208">
        <f ca="1">DS!E90</f>
        <v>0</v>
      </c>
      <c r="J31" s="208">
        <f ca="1">DS!F90</f>
        <v>0</v>
      </c>
      <c r="K31" s="208">
        <f ca="1">DS!G90</f>
        <v>0</v>
      </c>
      <c r="L31" s="208">
        <f ca="1">DS!H90</f>
        <v>0</v>
      </c>
      <c r="M31" s="208">
        <f ca="1">DS!I90</f>
        <v>0</v>
      </c>
      <c r="N31" s="208">
        <f ca="1">DS!J90</f>
        <v>0</v>
      </c>
      <c r="O31" s="208">
        <f ca="1">DS!K90</f>
        <v>0</v>
      </c>
      <c r="P31" s="208">
        <f ca="1">DS!L90</f>
        <v>0</v>
      </c>
    </row>
    <row r="32" spans="1:16">
      <c r="A32" s="286" t="s">
        <v>105</v>
      </c>
      <c r="B32" s="354"/>
      <c r="C32" s="354"/>
      <c r="D32" s="196"/>
      <c r="E32" s="356"/>
      <c r="F32" s="208">
        <f>+BS!E30*(DS!B7+DS!B94)</f>
        <v>0</v>
      </c>
      <c r="G32" s="208">
        <f>+DS!C103</f>
        <v>0</v>
      </c>
      <c r="H32" s="208">
        <f>+DS!D103</f>
        <v>0</v>
      </c>
      <c r="I32" s="208">
        <f>+DS!E103</f>
        <v>0</v>
      </c>
      <c r="J32" s="208">
        <f>+DS!F103</f>
        <v>0</v>
      </c>
      <c r="K32" s="208">
        <f>+DS!G103</f>
        <v>0</v>
      </c>
      <c r="L32" s="208">
        <f>+DS!H103</f>
        <v>0</v>
      </c>
      <c r="M32" s="208">
        <f>+DS!I103</f>
        <v>0</v>
      </c>
      <c r="N32" s="208">
        <f>+DS!J103</f>
        <v>0</v>
      </c>
      <c r="O32" s="208">
        <f>+DS!K103</f>
        <v>0</v>
      </c>
      <c r="P32" s="208">
        <f>+DS!L103</f>
        <v>0</v>
      </c>
    </row>
    <row r="33" spans="1:16">
      <c r="A33" s="221" t="s">
        <v>37</v>
      </c>
      <c r="B33" s="354"/>
      <c r="C33" s="354"/>
      <c r="D33" s="354"/>
      <c r="E33" s="196"/>
      <c r="F33" s="208">
        <f>G33</f>
        <v>0</v>
      </c>
      <c r="G33" s="208">
        <f>DS!C114</f>
        <v>0</v>
      </c>
      <c r="H33" s="208">
        <f>DS!D114</f>
        <v>0</v>
      </c>
      <c r="I33" s="208">
        <f>DS!E114</f>
        <v>0</v>
      </c>
      <c r="J33" s="208">
        <f>DS!F114</f>
        <v>0</v>
      </c>
      <c r="K33" s="208">
        <f>DS!G114</f>
        <v>0</v>
      </c>
      <c r="L33" s="208">
        <f>DS!H114</f>
        <v>0</v>
      </c>
      <c r="M33" s="208">
        <f>DS!I114</f>
        <v>0</v>
      </c>
      <c r="N33" s="208">
        <f>DS!J114</f>
        <v>0</v>
      </c>
      <c r="O33" s="208">
        <f>DS!K114</f>
        <v>0</v>
      </c>
      <c r="P33" s="208">
        <f>DS!L114</f>
        <v>0</v>
      </c>
    </row>
    <row r="34" spans="1:16">
      <c r="A34" s="96" t="s">
        <v>40</v>
      </c>
      <c r="B34" s="354"/>
      <c r="C34" s="354"/>
      <c r="D34" s="354"/>
      <c r="E34" s="196"/>
      <c r="F34" s="208">
        <f>+G34</f>
        <v>0</v>
      </c>
      <c r="G34" s="208">
        <f>DS!C125</f>
        <v>0</v>
      </c>
      <c r="H34" s="208">
        <f>DS!D125</f>
        <v>0</v>
      </c>
      <c r="I34" s="208">
        <f>DS!E125</f>
        <v>0</v>
      </c>
      <c r="J34" s="208">
        <f>DS!F125</f>
        <v>0</v>
      </c>
      <c r="K34" s="208">
        <f>DS!G125</f>
        <v>0</v>
      </c>
      <c r="L34" s="208">
        <f>DS!H125</f>
        <v>0</v>
      </c>
      <c r="M34" s="208">
        <f>DS!I125</f>
        <v>0</v>
      </c>
      <c r="N34" s="208">
        <f>DS!J125</f>
        <v>0</v>
      </c>
      <c r="O34" s="208">
        <f>DS!K125</f>
        <v>0</v>
      </c>
      <c r="P34" s="208">
        <f>DS!L125</f>
        <v>0</v>
      </c>
    </row>
    <row r="35" spans="1:16">
      <c r="A35" s="96" t="s">
        <v>106</v>
      </c>
      <c r="B35" s="354"/>
      <c r="C35" s="354"/>
      <c r="D35" s="354"/>
      <c r="E35" s="196"/>
      <c r="F35" s="208" t="e">
        <f ca="1">+G35</f>
        <v>#VALUE!</v>
      </c>
      <c r="G35" s="208" t="e">
        <f ca="1">+DS!C30</f>
        <v>#VALUE!</v>
      </c>
      <c r="H35" s="208" t="e">
        <f ca="1">+DS!D30</f>
        <v>#VALUE!</v>
      </c>
      <c r="I35" s="208" t="e">
        <f ca="1">+DS!E30</f>
        <v>#VALUE!</v>
      </c>
      <c r="J35" s="208" t="e">
        <f ca="1">+DS!F30</f>
        <v>#VALUE!</v>
      </c>
      <c r="K35" s="208" t="e">
        <f ca="1">+DS!G30</f>
        <v>#VALUE!</v>
      </c>
      <c r="L35" s="208" t="e">
        <f ca="1">+DS!H30</f>
        <v>#VALUE!</v>
      </c>
      <c r="M35" s="208" t="e">
        <f ca="1">+DS!I30</f>
        <v>#VALUE!</v>
      </c>
      <c r="N35" s="208" t="e">
        <f ca="1">+DS!J30</f>
        <v>#VALUE!</v>
      </c>
      <c r="O35" s="208" t="e">
        <f ca="1">+DS!K30</f>
        <v>#VALUE!</v>
      </c>
      <c r="P35" s="208" t="e">
        <f ca="1">+DS!L30</f>
        <v>#VALUE!</v>
      </c>
    </row>
    <row r="36" spans="1:16">
      <c r="A36" s="96" t="s">
        <v>107</v>
      </c>
      <c r="B36" s="354"/>
      <c r="C36" s="354"/>
      <c r="D36" s="354"/>
      <c r="E36" s="196"/>
      <c r="F36" s="191">
        <f>+G36</f>
        <v>0</v>
      </c>
      <c r="G36" s="191">
        <f>+DS!C31</f>
        <v>0</v>
      </c>
      <c r="H36" s="191">
        <f>+DS!D31</f>
        <v>0</v>
      </c>
      <c r="I36" s="191">
        <f>+DS!E31</f>
        <v>0</v>
      </c>
      <c r="J36" s="191">
        <f>+DS!F31</f>
        <v>0</v>
      </c>
      <c r="K36" s="191">
        <f>+DS!G31</f>
        <v>0</v>
      </c>
      <c r="L36" s="191">
        <f>+DS!H31</f>
        <v>0</v>
      </c>
      <c r="M36" s="191">
        <f>+DS!I31</f>
        <v>0</v>
      </c>
      <c r="N36" s="191">
        <f>+DS!J31</f>
        <v>0</v>
      </c>
      <c r="O36" s="191">
        <f>+DS!K31</f>
        <v>0</v>
      </c>
      <c r="P36" s="191">
        <f>+DS!L31</f>
        <v>0</v>
      </c>
    </row>
    <row r="37" spans="1:16">
      <c r="A37" s="246" t="s">
        <v>108</v>
      </c>
      <c r="B37" s="354"/>
      <c r="C37" s="354"/>
      <c r="D37" s="354"/>
      <c r="E37" s="192"/>
      <c r="F37" s="298" t="e">
        <f ca="1">SUM(F27:F36)</f>
        <v>#VALUE!</v>
      </c>
      <c r="G37" s="298" t="e">
        <f ca="1" t="shared" ref="G37:P37" si="14">SUM(G27:G36)</f>
        <v>#VALUE!</v>
      </c>
      <c r="H37" s="298" t="e">
        <f ca="1" t="shared" si="14"/>
        <v>#VALUE!</v>
      </c>
      <c r="I37" s="298" t="e">
        <f ca="1" t="shared" si="14"/>
        <v>#VALUE!</v>
      </c>
      <c r="J37" s="298" t="e">
        <f ca="1" t="shared" si="14"/>
        <v>#VALUE!</v>
      </c>
      <c r="K37" s="298" t="e">
        <f ca="1" t="shared" si="14"/>
        <v>#VALUE!</v>
      </c>
      <c r="L37" s="298" t="e">
        <f ca="1" t="shared" si="14"/>
        <v>#VALUE!</v>
      </c>
      <c r="M37" s="298" t="e">
        <f ca="1" t="shared" si="14"/>
        <v>#VALUE!</v>
      </c>
      <c r="N37" s="298" t="e">
        <f ca="1" t="shared" si="14"/>
        <v>#VALUE!</v>
      </c>
      <c r="O37" s="298" t="e">
        <f ca="1" t="shared" si="14"/>
        <v>#VALUE!</v>
      </c>
      <c r="P37" s="298" t="e">
        <f ca="1" t="shared" si="14"/>
        <v>#VALUE!</v>
      </c>
    </row>
    <row r="38" spans="1:16">
      <c r="A38" s="96" t="s">
        <v>109</v>
      </c>
      <c r="B38" s="357"/>
      <c r="C38" s="354"/>
      <c r="D38" s="354"/>
      <c r="E38" s="196"/>
      <c r="F38" s="191">
        <v>0</v>
      </c>
      <c r="G38" s="191">
        <f>'A3'!D55</f>
        <v>0</v>
      </c>
      <c r="H38" s="191">
        <f>'A3'!E55</f>
        <v>0</v>
      </c>
      <c r="I38" s="191">
        <f>'A3'!F55</f>
        <v>0</v>
      </c>
      <c r="J38" s="191">
        <f>'A3'!G55</f>
        <v>0</v>
      </c>
      <c r="K38" s="191">
        <f>'A3'!H55</f>
        <v>0</v>
      </c>
      <c r="L38" s="191">
        <f>'A3'!I55</f>
        <v>0</v>
      </c>
      <c r="M38" s="191">
        <f>'A3'!J55</f>
        <v>0</v>
      </c>
      <c r="N38" s="191">
        <f>'A3'!K55</f>
        <v>0</v>
      </c>
      <c r="O38" s="191">
        <f>'A3'!L55</f>
        <v>0</v>
      </c>
      <c r="P38" s="191">
        <f>'A3'!M55</f>
        <v>0</v>
      </c>
    </row>
    <row r="39" spans="1:16">
      <c r="A39" s="246" t="s">
        <v>110</v>
      </c>
      <c r="B39" s="354"/>
      <c r="C39" s="354"/>
      <c r="D39" s="354"/>
      <c r="E39" s="192"/>
      <c r="F39" s="298" t="e">
        <f ca="1">+F38+F37</f>
        <v>#VALUE!</v>
      </c>
      <c r="G39" s="298" t="e">
        <f ca="1" t="shared" ref="G39:P39" si="15">+G38+G37</f>
        <v>#VALUE!</v>
      </c>
      <c r="H39" s="298" t="e">
        <f ca="1" t="shared" si="15"/>
        <v>#VALUE!</v>
      </c>
      <c r="I39" s="298" t="e">
        <f ca="1" t="shared" si="15"/>
        <v>#VALUE!</v>
      </c>
      <c r="J39" s="298" t="e">
        <f ca="1" t="shared" si="15"/>
        <v>#VALUE!</v>
      </c>
      <c r="K39" s="298" t="e">
        <f ca="1" t="shared" si="15"/>
        <v>#VALUE!</v>
      </c>
      <c r="L39" s="298" t="e">
        <f ca="1" t="shared" si="15"/>
        <v>#VALUE!</v>
      </c>
      <c r="M39" s="298" t="e">
        <f ca="1" t="shared" si="15"/>
        <v>#VALUE!</v>
      </c>
      <c r="N39" s="298" t="e">
        <f ca="1" t="shared" si="15"/>
        <v>#VALUE!</v>
      </c>
      <c r="O39" s="298" t="e">
        <f ca="1" t="shared" si="15"/>
        <v>#VALUE!</v>
      </c>
      <c r="P39" s="298" t="e">
        <f ca="1" t="shared" si="15"/>
        <v>#VALUE!</v>
      </c>
    </row>
    <row r="40" spans="1:16">
      <c r="A40" s="221" t="s">
        <v>111</v>
      </c>
      <c r="B40" s="358"/>
      <c r="C40" s="354"/>
      <c r="D40" s="354"/>
      <c r="E40" s="354"/>
      <c r="F40" s="191">
        <f>IF(TS!$P$14=5,0,-F55*(AVERAGE(BS!B7,BS!E7)))</f>
        <v>0</v>
      </c>
      <c r="G40" s="191" t="e">
        <f ca="1">IF(TS!$P$14=5,0,-G55*(AVERAGE(BS!E7:F7)))</f>
        <v>#VALUE!</v>
      </c>
      <c r="H40" s="191" t="e">
        <f ca="1">IF(TS!$P$14=5,0,-H55*(AVERAGE(BS!F7:G7)))</f>
        <v>#VALUE!</v>
      </c>
      <c r="I40" s="191" t="e">
        <f ca="1">IF(TS!$P$14=5,0,-I55*(AVERAGE(BS!G7:H7)))</f>
        <v>#VALUE!</v>
      </c>
      <c r="J40" s="191" t="e">
        <f ca="1">IF(TS!$P$14=5,0,-J55*(AVERAGE(BS!H7:I7)))</f>
        <v>#VALUE!</v>
      </c>
      <c r="K40" s="191" t="e">
        <f ca="1">IF(TS!$P$14=5,0,-K55*(AVERAGE(BS!I7:J7)))</f>
        <v>#VALUE!</v>
      </c>
      <c r="L40" s="191" t="e">
        <f ca="1">IF(TS!$P$14=5,0,-L55*(AVERAGE(BS!J7:K7)))</f>
        <v>#VALUE!</v>
      </c>
      <c r="M40" s="191" t="e">
        <f ca="1">IF(TS!$P$14=5,0,-M55*(AVERAGE(BS!K7:L7)))</f>
        <v>#VALUE!</v>
      </c>
      <c r="N40" s="191" t="e">
        <f ca="1">IF(TS!$P$14=5,0,-N55*(AVERAGE(BS!L7:M7)))</f>
        <v>#VALUE!</v>
      </c>
      <c r="O40" s="191" t="e">
        <f ca="1">IF(TS!$P$14=5,0,-O55*(AVERAGE(BS!M7:N7)))</f>
        <v>#VALUE!</v>
      </c>
      <c r="P40" s="191" t="e">
        <f ca="1">IF(TS!$P$14=5,0,-P55*(AVERAGE(BS!N7:O7)))</f>
        <v>#VALUE!</v>
      </c>
    </row>
    <row r="41" spans="1:16">
      <c r="A41" s="219" t="s">
        <v>112</v>
      </c>
      <c r="B41" s="354"/>
      <c r="C41" s="354"/>
      <c r="D41" s="354"/>
      <c r="E41" s="354"/>
      <c r="F41" s="298" t="e">
        <f ca="1">F39+F40</f>
        <v>#VALUE!</v>
      </c>
      <c r="G41" s="298" t="e">
        <f ca="1">G39+G40</f>
        <v>#VALUE!</v>
      </c>
      <c r="H41" s="298" t="e">
        <f ca="1" t="shared" ref="H41:P41" si="16">H39+H40</f>
        <v>#VALUE!</v>
      </c>
      <c r="I41" s="298" t="e">
        <f ca="1" t="shared" si="16"/>
        <v>#VALUE!</v>
      </c>
      <c r="J41" s="298" t="e">
        <f ca="1" t="shared" si="16"/>
        <v>#VALUE!</v>
      </c>
      <c r="K41" s="298" t="e">
        <f ca="1" t="shared" si="16"/>
        <v>#VALUE!</v>
      </c>
      <c r="L41" s="298" t="e">
        <f ca="1" t="shared" si="16"/>
        <v>#VALUE!</v>
      </c>
      <c r="M41" s="298" t="e">
        <f ca="1" t="shared" si="16"/>
        <v>#VALUE!</v>
      </c>
      <c r="N41" s="298" t="e">
        <f ca="1" t="shared" si="16"/>
        <v>#VALUE!</v>
      </c>
      <c r="O41" s="298" t="e">
        <f ca="1" t="shared" si="16"/>
        <v>#VALUE!</v>
      </c>
      <c r="P41" s="298" t="e">
        <f ca="1" t="shared" si="16"/>
        <v>#VALUE!</v>
      </c>
    </row>
    <row r="42" spans="1:16">
      <c r="A42" s="219"/>
      <c r="B42" s="354"/>
      <c r="C42" s="354"/>
      <c r="D42" s="354"/>
      <c r="E42" s="354"/>
      <c r="F42" s="354"/>
      <c r="G42" s="359"/>
      <c r="H42" s="359"/>
      <c r="I42" s="359"/>
      <c r="J42" s="359"/>
      <c r="K42" s="359"/>
      <c r="L42" s="359"/>
      <c r="M42" s="359"/>
      <c r="N42" s="359"/>
      <c r="O42" s="359"/>
      <c r="P42" s="359"/>
    </row>
    <row r="43" spans="1:16">
      <c r="A43" s="285" t="s">
        <v>113</v>
      </c>
      <c r="B43" s="354"/>
      <c r="C43" s="354"/>
      <c r="D43" s="354"/>
      <c r="E43" s="354"/>
      <c r="F43" s="208" t="e">
        <f ca="1" t="shared" ref="F43" si="17">+F23-F41</f>
        <v>#VALUE!</v>
      </c>
      <c r="G43" s="208" t="e">
        <f ca="1" t="shared" ref="G43:P43" si="18">+G23-G41</f>
        <v>#VALUE!</v>
      </c>
      <c r="H43" s="208" t="e">
        <f ca="1" t="shared" si="18"/>
        <v>#VALUE!</v>
      </c>
      <c r="I43" s="208" t="e">
        <f ca="1" t="shared" si="18"/>
        <v>#VALUE!</v>
      </c>
      <c r="J43" s="208" t="e">
        <f ca="1" t="shared" si="18"/>
        <v>#VALUE!</v>
      </c>
      <c r="K43" s="208" t="e">
        <f ca="1" t="shared" si="18"/>
        <v>#VALUE!</v>
      </c>
      <c r="L43" s="208" t="e">
        <f ca="1" t="shared" si="18"/>
        <v>#VALUE!</v>
      </c>
      <c r="M43" s="208" t="e">
        <f ca="1" t="shared" si="18"/>
        <v>#VALUE!</v>
      </c>
      <c r="N43" s="208" t="e">
        <f ca="1" t="shared" si="18"/>
        <v>#VALUE!</v>
      </c>
      <c r="O43" s="208" t="e">
        <f ca="1" t="shared" si="18"/>
        <v>#VALUE!</v>
      </c>
      <c r="P43" s="208" t="e">
        <f ca="1" t="shared" si="18"/>
        <v>#VALUE!</v>
      </c>
    </row>
    <row r="44" spans="1:16">
      <c r="A44" s="285" t="s">
        <v>114</v>
      </c>
      <c r="B44" s="185"/>
      <c r="C44" s="354"/>
      <c r="D44" s="354"/>
      <c r="E44" s="354"/>
      <c r="F44" s="191" t="e">
        <f ca="1">+F43*F56</f>
        <v>#VALUE!</v>
      </c>
      <c r="G44" s="191" t="e">
        <f ca="1">+G43*G56</f>
        <v>#VALUE!</v>
      </c>
      <c r="H44" s="191" t="e">
        <f ca="1" t="shared" ref="H44:P44" si="19">+H43*H56</f>
        <v>#VALUE!</v>
      </c>
      <c r="I44" s="191" t="e">
        <f ca="1" t="shared" si="19"/>
        <v>#VALUE!</v>
      </c>
      <c r="J44" s="191" t="e">
        <f ca="1" t="shared" si="19"/>
        <v>#VALUE!</v>
      </c>
      <c r="K44" s="191" t="e">
        <f ca="1" t="shared" si="19"/>
        <v>#VALUE!</v>
      </c>
      <c r="L44" s="191" t="e">
        <f ca="1" t="shared" si="19"/>
        <v>#VALUE!</v>
      </c>
      <c r="M44" s="191" t="e">
        <f ca="1" t="shared" si="19"/>
        <v>#VALUE!</v>
      </c>
      <c r="N44" s="191" t="e">
        <f ca="1" t="shared" si="19"/>
        <v>#VALUE!</v>
      </c>
      <c r="O44" s="191" t="e">
        <f ca="1" t="shared" si="19"/>
        <v>#VALUE!</v>
      </c>
      <c r="P44" s="191" t="e">
        <f ca="1" t="shared" si="19"/>
        <v>#VALUE!</v>
      </c>
    </row>
    <row r="45" ht="15.15" spans="1:16">
      <c r="A45" s="185" t="s">
        <v>115</v>
      </c>
      <c r="B45" s="354"/>
      <c r="C45" s="354"/>
      <c r="D45" s="354"/>
      <c r="E45" s="354"/>
      <c r="F45" s="198" t="e">
        <f ca="1" t="shared" ref="F45" si="20">+F43-F44</f>
        <v>#VALUE!</v>
      </c>
      <c r="G45" s="198" t="e">
        <f ca="1" t="shared" ref="G45:P45" si="21">+G43-G44</f>
        <v>#VALUE!</v>
      </c>
      <c r="H45" s="198" t="e">
        <f ca="1" t="shared" si="21"/>
        <v>#VALUE!</v>
      </c>
      <c r="I45" s="198" t="e">
        <f ca="1" t="shared" si="21"/>
        <v>#VALUE!</v>
      </c>
      <c r="J45" s="198" t="e">
        <f ca="1" t="shared" si="21"/>
        <v>#VALUE!</v>
      </c>
      <c r="K45" s="198" t="e">
        <f ca="1" t="shared" si="21"/>
        <v>#VALUE!</v>
      </c>
      <c r="L45" s="198" t="e">
        <f ca="1" t="shared" si="21"/>
        <v>#VALUE!</v>
      </c>
      <c r="M45" s="198" t="e">
        <f ca="1" t="shared" si="21"/>
        <v>#VALUE!</v>
      </c>
      <c r="N45" s="198" t="e">
        <f ca="1" t="shared" si="21"/>
        <v>#VALUE!</v>
      </c>
      <c r="O45" s="198" t="e">
        <f ca="1" t="shared" si="21"/>
        <v>#VALUE!</v>
      </c>
      <c r="P45" s="198" t="e">
        <f ca="1" t="shared" si="21"/>
        <v>#VALUE!</v>
      </c>
    </row>
    <row r="46" ht="15.15" spans="1:16">
      <c r="A46" s="341" t="s">
        <v>62</v>
      </c>
      <c r="B46" s="360"/>
      <c r="C46" s="360"/>
      <c r="D46" s="360"/>
      <c r="E46" s="360"/>
      <c r="F46" s="342">
        <f ca="1">+IF(ISERROR(F45/F7),0,F45/F7)</f>
        <v>0</v>
      </c>
      <c r="G46" s="342">
        <f ca="1">+IF(ISERROR(G45/G7),0,G45/G7)</f>
        <v>0</v>
      </c>
      <c r="H46" s="342">
        <f ca="1" t="shared" ref="H46:P46" si="22">+IF(ISERROR(H45/H7),0,H45/H7)</f>
        <v>0</v>
      </c>
      <c r="I46" s="342">
        <f ca="1" t="shared" si="22"/>
        <v>0</v>
      </c>
      <c r="J46" s="342">
        <f ca="1" t="shared" si="22"/>
        <v>0</v>
      </c>
      <c r="K46" s="342">
        <f ca="1" t="shared" si="22"/>
        <v>0</v>
      </c>
      <c r="L46" s="342">
        <f ca="1" t="shared" si="22"/>
        <v>0</v>
      </c>
      <c r="M46" s="342">
        <f ca="1" t="shared" si="22"/>
        <v>0</v>
      </c>
      <c r="N46" s="342">
        <f ca="1" t="shared" si="22"/>
        <v>0</v>
      </c>
      <c r="O46" s="342">
        <f ca="1" t="shared" si="22"/>
        <v>0</v>
      </c>
      <c r="P46" s="342">
        <f ca="1" t="shared" si="22"/>
        <v>0</v>
      </c>
    </row>
    <row r="47" spans="1:16">
      <c r="A47" s="341"/>
      <c r="B47" s="344"/>
      <c r="C47" s="344"/>
      <c r="D47" s="344"/>
      <c r="E47" s="344"/>
      <c r="F47" s="344"/>
      <c r="G47" s="361"/>
      <c r="H47" s="344"/>
      <c r="I47" s="344"/>
      <c r="J47" s="344"/>
      <c r="K47" s="344"/>
      <c r="L47" s="344"/>
      <c r="M47" s="344"/>
      <c r="N47" s="344"/>
      <c r="O47" s="344"/>
      <c r="P47" s="344"/>
    </row>
    <row r="48" spans="1:16">
      <c r="A48" s="279" t="s">
        <v>116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</row>
    <row r="49" spans="1:16">
      <c r="A49" s="362" t="s">
        <v>117</v>
      </c>
      <c r="B49" s="363" t="str">
        <f>+B8</f>
        <v>NA</v>
      </c>
      <c r="C49" s="363">
        <f>+IF(ISERROR(C7/B7-1),0,C7/B7-1)</f>
        <v>0</v>
      </c>
      <c r="D49" s="363">
        <f>+IF(ISERROR(D7/C7-1),0,D7/C7-1)</f>
        <v>0</v>
      </c>
      <c r="E49" s="363">
        <f>+E8</f>
        <v>0</v>
      </c>
      <c r="F49" s="364">
        <f>'A1'!C7</f>
        <v>0.0226</v>
      </c>
      <c r="G49" s="364">
        <f>'A1'!D7</f>
        <v>0.0226</v>
      </c>
      <c r="H49" s="363">
        <f>'A1'!E7</f>
        <v>0.0226</v>
      </c>
      <c r="I49" s="363">
        <f>'A1'!F7</f>
        <v>0.0226</v>
      </c>
      <c r="J49" s="363">
        <f>'A1'!G7</f>
        <v>0.0226</v>
      </c>
      <c r="K49" s="363">
        <f>'A1'!H7</f>
        <v>0.0226</v>
      </c>
      <c r="L49" s="363">
        <f>'A1'!I7</f>
        <v>0.0226</v>
      </c>
      <c r="M49" s="363">
        <f>'A1'!J7</f>
        <v>0.0226</v>
      </c>
      <c r="N49" s="363">
        <f>'A1'!K7</f>
        <v>0.0226</v>
      </c>
      <c r="O49" s="363">
        <f>'A1'!L7</f>
        <v>0.0226</v>
      </c>
      <c r="P49" s="371">
        <f>'A1'!M7</f>
        <v>0.0226</v>
      </c>
    </row>
    <row r="50" spans="1:16">
      <c r="A50" s="365" t="s">
        <v>118</v>
      </c>
      <c r="B50" s="366">
        <f>+IF(ISERROR(B10/B7),0,B10/B7)</f>
        <v>0</v>
      </c>
      <c r="C50" s="366">
        <f>+IF(ISERROR(C10/C7),0,C10/C7)</f>
        <v>0</v>
      </c>
      <c r="D50" s="366">
        <f>+IF(ISERROR(D10/D7),0,D10/D7)</f>
        <v>0</v>
      </c>
      <c r="E50" s="366">
        <f>+IF(ISERROR(E10/E7),0,E10/E7)</f>
        <v>0</v>
      </c>
      <c r="F50" s="367">
        <f>'A1'!C14</f>
        <v>0.8054</v>
      </c>
      <c r="G50" s="367">
        <f>'A1'!D14</f>
        <v>0.8054</v>
      </c>
      <c r="H50" s="366">
        <f>'A1'!E14</f>
        <v>0.8054</v>
      </c>
      <c r="I50" s="366">
        <f>'A1'!F14</f>
        <v>0.8054</v>
      </c>
      <c r="J50" s="366">
        <f>'A1'!G14</f>
        <v>0.8054</v>
      </c>
      <c r="K50" s="366">
        <f>'A1'!H14</f>
        <v>0.8054</v>
      </c>
      <c r="L50" s="366">
        <f>'A1'!I14</f>
        <v>0.8054</v>
      </c>
      <c r="M50" s="366">
        <f>'A1'!J14</f>
        <v>0.8054</v>
      </c>
      <c r="N50" s="366">
        <f>'A1'!K14</f>
        <v>0.8054</v>
      </c>
      <c r="O50" s="366">
        <f>'A1'!L14</f>
        <v>0.8054</v>
      </c>
      <c r="P50" s="372">
        <f>'A1'!M14</f>
        <v>0.8054</v>
      </c>
    </row>
    <row r="51" spans="1:16">
      <c r="A51" s="365" t="s">
        <v>119</v>
      </c>
      <c r="B51" s="366">
        <f>+IF(ISERROR(B14/B7),0,B14/B7)</f>
        <v>0</v>
      </c>
      <c r="C51" s="366">
        <f>+IF(ISERROR(C14/C7),0,C14/C7)</f>
        <v>0</v>
      </c>
      <c r="D51" s="366">
        <f>+IF(ISERROR(D14/D7),0,D14/D7)</f>
        <v>0</v>
      </c>
      <c r="E51" s="366">
        <f>+IF(ISERROR(E14/E7),0,E14/E7)</f>
        <v>0</v>
      </c>
      <c r="F51" s="367">
        <f>'A1'!C21</f>
        <v>0.0793</v>
      </c>
      <c r="G51" s="367">
        <f>'A1'!D21</f>
        <v>0.0793</v>
      </c>
      <c r="H51" s="366">
        <f>'A1'!E21</f>
        <v>0.0793</v>
      </c>
      <c r="I51" s="366">
        <f>'A1'!F21</f>
        <v>0.0793</v>
      </c>
      <c r="J51" s="366">
        <f>'A1'!G21</f>
        <v>0.0793</v>
      </c>
      <c r="K51" s="366">
        <f>'A1'!H21</f>
        <v>0.0793</v>
      </c>
      <c r="L51" s="366">
        <f>'A1'!I21</f>
        <v>0.0793</v>
      </c>
      <c r="M51" s="366">
        <f>'A1'!J21</f>
        <v>0.0793</v>
      </c>
      <c r="N51" s="366">
        <f>'A1'!K21</f>
        <v>0.0793</v>
      </c>
      <c r="O51" s="366">
        <f>'A1'!L21</f>
        <v>0.0793</v>
      </c>
      <c r="P51" s="372">
        <f>'A1'!M21</f>
        <v>0.0793</v>
      </c>
    </row>
    <row r="52" spans="1:16">
      <c r="A52" s="365" t="s">
        <v>120</v>
      </c>
      <c r="B52" s="366">
        <f>+IF(ISERROR(B17/B7),0,B17/B7)</f>
        <v>0</v>
      </c>
      <c r="C52" s="366">
        <f>+IF(ISERROR(C17/C7),0,C17/C7)</f>
        <v>0</v>
      </c>
      <c r="D52" s="366">
        <f>+IF(ISERROR(D17/D7),0,D17/D7)</f>
        <v>0</v>
      </c>
      <c r="E52" s="366">
        <f>+IF(ISERROR(E17/E7),0,E17/E7)</f>
        <v>0</v>
      </c>
      <c r="F52" s="367">
        <f>'A1'!C28</f>
        <v>-0.0005</v>
      </c>
      <c r="G52" s="367">
        <f>'A1'!D28</f>
        <v>-0.0005</v>
      </c>
      <c r="H52" s="366">
        <f>'A1'!E28</f>
        <v>-0.0005</v>
      </c>
      <c r="I52" s="366">
        <f>'A1'!F28</f>
        <v>-0.0005</v>
      </c>
      <c r="J52" s="366">
        <f>'A1'!G28</f>
        <v>-0.0005</v>
      </c>
      <c r="K52" s="366">
        <f>'A1'!H28</f>
        <v>-0.0005</v>
      </c>
      <c r="L52" s="366">
        <f>'A1'!I28</f>
        <v>-0.0005</v>
      </c>
      <c r="M52" s="366">
        <f>'A1'!J28</f>
        <v>-0.0005</v>
      </c>
      <c r="N52" s="366">
        <f>'A1'!K28</f>
        <v>-0.0005</v>
      </c>
      <c r="O52" s="366">
        <f>'A1'!L28</f>
        <v>-0.0005</v>
      </c>
      <c r="P52" s="372">
        <f>'A1'!M28</f>
        <v>-0.0005</v>
      </c>
    </row>
    <row r="53" spans="1:16">
      <c r="A53" s="365" t="s">
        <v>121</v>
      </c>
      <c r="B53" s="366">
        <f>+IF(ISERROR(B21/B7),0,B21/B7)</f>
        <v>0</v>
      </c>
      <c r="C53" s="366">
        <f>+IF(ISERROR(C21/C7),0,C21/C7)</f>
        <v>0</v>
      </c>
      <c r="D53" s="366">
        <f>+IF(ISERROR(D21/D7),0,D21/D7)</f>
        <v>0</v>
      </c>
      <c r="E53" s="366">
        <f>+IF(ISERROR(E21/E7),0,E21/E7)</f>
        <v>0</v>
      </c>
      <c r="F53" s="367">
        <f>'A1'!C35</f>
        <v>0.0312</v>
      </c>
      <c r="G53" s="367">
        <f>'A1'!D35</f>
        <v>0.0312</v>
      </c>
      <c r="H53" s="366">
        <f>'A1'!E35</f>
        <v>0.0312</v>
      </c>
      <c r="I53" s="366">
        <f>'A1'!F35</f>
        <v>0.0312</v>
      </c>
      <c r="J53" s="366">
        <f>'A1'!G35</f>
        <v>0.0312</v>
      </c>
      <c r="K53" s="366">
        <f>'A1'!H35</f>
        <v>0.0312</v>
      </c>
      <c r="L53" s="366">
        <f>'A1'!I35</f>
        <v>0.0312</v>
      </c>
      <c r="M53" s="366">
        <f>'A1'!J35</f>
        <v>0.0312</v>
      </c>
      <c r="N53" s="366">
        <f>'A1'!K35</f>
        <v>0.0312</v>
      </c>
      <c r="O53" s="366">
        <f>'A1'!L35</f>
        <v>0.0312</v>
      </c>
      <c r="P53" s="372">
        <f>'A1'!M35</f>
        <v>0.0312</v>
      </c>
    </row>
    <row r="54" spans="1:16">
      <c r="A54" s="365" t="s">
        <v>122</v>
      </c>
      <c r="B54" s="366">
        <f>+IF(ISERROR(B22/B7),0,B22/B7)</f>
        <v>0</v>
      </c>
      <c r="C54" s="366">
        <f>+IF(ISERROR(C22/C7),0,C22/C7)</f>
        <v>0</v>
      </c>
      <c r="D54" s="366">
        <f>+IF(ISERROR(D22/D7),0,D22/D7)</f>
        <v>0</v>
      </c>
      <c r="E54" s="366">
        <f>+IF(ISERROR(E22/E7),0,E22/E7)</f>
        <v>0</v>
      </c>
      <c r="F54" s="367">
        <f>'A1'!C42</f>
        <v>0.0117</v>
      </c>
      <c r="G54" s="367">
        <f>'A1'!D42</f>
        <v>0.0117</v>
      </c>
      <c r="H54" s="366">
        <f>'A1'!E42</f>
        <v>0.0117</v>
      </c>
      <c r="I54" s="366">
        <f>'A1'!F42</f>
        <v>0.0117</v>
      </c>
      <c r="J54" s="366">
        <f>'A1'!G42</f>
        <v>0.0117</v>
      </c>
      <c r="K54" s="366">
        <f>'A1'!H42</f>
        <v>0.0117</v>
      </c>
      <c r="L54" s="366">
        <f>'A1'!I42</f>
        <v>0.0117</v>
      </c>
      <c r="M54" s="366">
        <f>'A1'!J42</f>
        <v>0.0117</v>
      </c>
      <c r="N54" s="366">
        <f>'A1'!K42</f>
        <v>0.0117</v>
      </c>
      <c r="O54" s="366">
        <f>'A1'!L42</f>
        <v>0.0117</v>
      </c>
      <c r="P54" s="372">
        <f>'A1'!M42</f>
        <v>0.0117</v>
      </c>
    </row>
    <row r="55" spans="1:16">
      <c r="A55" s="365" t="s">
        <v>111</v>
      </c>
      <c r="B55" s="366"/>
      <c r="C55" s="366"/>
      <c r="D55" s="366"/>
      <c r="E55" s="366"/>
      <c r="F55" s="367">
        <f>'A1'!C49</f>
        <v>0.313</v>
      </c>
      <c r="G55" s="367">
        <f>'A1'!D49</f>
        <v>0.313</v>
      </c>
      <c r="H55" s="366">
        <f>'A1'!E49</f>
        <v>0.313</v>
      </c>
      <c r="I55" s="366">
        <f>'A1'!F49</f>
        <v>0.313</v>
      </c>
      <c r="J55" s="366">
        <f>'A1'!G49</f>
        <v>0.313</v>
      </c>
      <c r="K55" s="366">
        <f>'A1'!H49</f>
        <v>0.313</v>
      </c>
      <c r="L55" s="366">
        <f>'A1'!I49</f>
        <v>0.313</v>
      </c>
      <c r="M55" s="366">
        <f>'A1'!J49</f>
        <v>0.313</v>
      </c>
      <c r="N55" s="366">
        <f>'A1'!K49</f>
        <v>0.313</v>
      </c>
      <c r="O55" s="366">
        <f>'A1'!L49</f>
        <v>0.313</v>
      </c>
      <c r="P55" s="372">
        <f>'A1'!M49</f>
        <v>0.313</v>
      </c>
    </row>
    <row r="56" spans="1:16">
      <c r="A56" s="368" t="s">
        <v>123</v>
      </c>
      <c r="B56" s="369"/>
      <c r="C56" s="369"/>
      <c r="D56" s="369"/>
      <c r="E56" s="369"/>
      <c r="F56" s="370"/>
      <c r="G56" s="369">
        <f>+F56</f>
        <v>0</v>
      </c>
      <c r="H56" s="369">
        <f>+G56</f>
        <v>0</v>
      </c>
      <c r="I56" s="369">
        <f t="shared" ref="I56:P56" si="23">+H56</f>
        <v>0</v>
      </c>
      <c r="J56" s="369">
        <f t="shared" si="23"/>
        <v>0</v>
      </c>
      <c r="K56" s="369">
        <f t="shared" si="23"/>
        <v>0</v>
      </c>
      <c r="L56" s="369">
        <f t="shared" si="23"/>
        <v>0</v>
      </c>
      <c r="M56" s="369">
        <f t="shared" si="23"/>
        <v>0</v>
      </c>
      <c r="N56" s="369">
        <f t="shared" si="23"/>
        <v>0</v>
      </c>
      <c r="O56" s="369">
        <f t="shared" si="23"/>
        <v>0</v>
      </c>
      <c r="P56" s="373">
        <f t="shared" si="23"/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T59"/>
  <sheetViews>
    <sheetView showGridLines="0" zoomScale="120" zoomScaleNormal="120" workbookViewId="0">
      <selection activeCell="A15" sqref="A15"/>
    </sheetView>
  </sheetViews>
  <sheetFormatPr defaultColWidth="8.81481481481481" defaultRowHeight="14.4"/>
  <cols>
    <col min="1" max="1" width="40.8148148148148" customWidth="1"/>
    <col min="2" max="15" width="11.7222222222222" customWidth="1"/>
  </cols>
  <sheetData>
    <row r="1" ht="24.6" spans="1:15">
      <c r="A1" s="174" t="str">
        <f>+TS!A1</f>
        <v>Target_Co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211"/>
      <c r="N1" s="211"/>
      <c r="O1" s="211"/>
    </row>
    <row r="2" ht="15.6" spans="1:15">
      <c r="A2" s="15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58"/>
      <c r="O2" s="211"/>
    </row>
    <row r="3" spans="1:15">
      <c r="A3" s="177" t="str">
        <f>+TS!A3</f>
        <v>($ in millions, fiscal year ending April 30)</v>
      </c>
      <c r="B3" s="175"/>
      <c r="C3" s="175"/>
      <c r="D3" s="175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</row>
    <row r="4" spans="1:15">
      <c r="A4" s="221"/>
      <c r="B4" s="185"/>
      <c r="C4" s="185"/>
      <c r="D4" s="185"/>
      <c r="E4" s="186"/>
      <c r="F4" s="216" t="s">
        <v>55</v>
      </c>
      <c r="G4" s="217"/>
      <c r="H4" s="217"/>
      <c r="I4" s="217"/>
      <c r="J4" s="217"/>
      <c r="K4" s="217"/>
      <c r="L4" s="217"/>
      <c r="M4" s="217"/>
      <c r="N4" s="217"/>
      <c r="O4" s="216"/>
    </row>
    <row r="5" spans="1:15">
      <c r="A5" s="219"/>
      <c r="B5" s="186" t="s">
        <v>125</v>
      </c>
      <c r="C5" s="289" t="s">
        <v>126</v>
      </c>
      <c r="D5" s="289"/>
      <c r="E5" s="186" t="s">
        <v>127</v>
      </c>
      <c r="F5" s="218">
        <v>1</v>
      </c>
      <c r="G5" s="218">
        <v>2</v>
      </c>
      <c r="H5" s="218">
        <v>3</v>
      </c>
      <c r="I5" s="218">
        <v>4</v>
      </c>
      <c r="J5" s="218">
        <v>5</v>
      </c>
      <c r="K5" s="218">
        <v>6</v>
      </c>
      <c r="L5" s="218">
        <v>7</v>
      </c>
      <c r="M5" s="218">
        <v>8</v>
      </c>
      <c r="N5" s="218">
        <v>9</v>
      </c>
      <c r="O5" s="218">
        <v>10</v>
      </c>
    </row>
    <row r="6" spans="1:15">
      <c r="A6" s="221"/>
      <c r="B6" s="290">
        <f>+IS!F6</f>
        <v>2024</v>
      </c>
      <c r="C6" s="290" t="s">
        <v>128</v>
      </c>
      <c r="D6" s="290" t="s">
        <v>129</v>
      </c>
      <c r="E6" s="290">
        <f>IS!F6</f>
        <v>2024</v>
      </c>
      <c r="F6" s="290">
        <f>IS!G6</f>
        <v>2025</v>
      </c>
      <c r="G6" s="290">
        <f>IS!H6</f>
        <v>2026</v>
      </c>
      <c r="H6" s="290">
        <f>IS!I6</f>
        <v>2027</v>
      </c>
      <c r="I6" s="290">
        <f>IS!J6</f>
        <v>2028</v>
      </c>
      <c r="J6" s="290">
        <f>IS!K6</f>
        <v>2029</v>
      </c>
      <c r="K6" s="290">
        <f>IS!L6</f>
        <v>2030</v>
      </c>
      <c r="L6" s="290">
        <f>IS!M6</f>
        <v>2031</v>
      </c>
      <c r="M6" s="290">
        <f>IS!N6</f>
        <v>2032</v>
      </c>
      <c r="N6" s="290">
        <f>IS!O6</f>
        <v>2033</v>
      </c>
      <c r="O6" s="290">
        <f>IS!P6</f>
        <v>2034</v>
      </c>
    </row>
    <row r="7" spans="1:15">
      <c r="A7" s="221" t="s">
        <v>130</v>
      </c>
      <c r="B7" s="291">
        <v>0</v>
      </c>
      <c r="C7" s="292"/>
      <c r="D7" s="293">
        <f>-TS!B18</f>
        <v>0</v>
      </c>
      <c r="E7" s="188">
        <f>+SUM(B7:D7)</f>
        <v>0</v>
      </c>
      <c r="F7" s="188" t="e">
        <f ca="1">+CF!B45</f>
        <v>#VALUE!</v>
      </c>
      <c r="G7" s="188" t="e">
        <f ca="1">+CF!C45</f>
        <v>#VALUE!</v>
      </c>
      <c r="H7" s="188" t="e">
        <f ca="1">+CF!D45</f>
        <v>#VALUE!</v>
      </c>
      <c r="I7" s="188" t="e">
        <f ca="1">+CF!E45</f>
        <v>#VALUE!</v>
      </c>
      <c r="J7" s="188" t="e">
        <f ca="1">+CF!F45</f>
        <v>#VALUE!</v>
      </c>
      <c r="K7" s="188" t="e">
        <f ca="1">+CF!G45</f>
        <v>#VALUE!</v>
      </c>
      <c r="L7" s="188" t="e">
        <f ca="1">+CF!H45</f>
        <v>#VALUE!</v>
      </c>
      <c r="M7" s="188" t="e">
        <f ca="1">+CF!I45</f>
        <v>#VALUE!</v>
      </c>
      <c r="N7" s="188" t="e">
        <f ca="1">+CF!J45</f>
        <v>#VALUE!</v>
      </c>
      <c r="O7" s="188" t="e">
        <f ca="1">+CF!K45</f>
        <v>#VALUE!</v>
      </c>
    </row>
    <row r="8" spans="1:15">
      <c r="A8" s="221" t="s">
        <v>131</v>
      </c>
      <c r="B8" s="294">
        <v>0</v>
      </c>
      <c r="C8" s="295"/>
      <c r="D8" s="296"/>
      <c r="E8" s="208">
        <f>+SUM(B8:D8)</f>
        <v>0</v>
      </c>
      <c r="F8" s="208">
        <f>+IS!G7/365*BS!F52</f>
        <v>0</v>
      </c>
      <c r="G8" s="208">
        <f>+IS!H7/365*BS!G52</f>
        <v>0</v>
      </c>
      <c r="H8" s="208">
        <f>+IS!I7/365*BS!H52</f>
        <v>0</v>
      </c>
      <c r="I8" s="208">
        <f>+IS!J7/365*BS!I52</f>
        <v>0</v>
      </c>
      <c r="J8" s="208">
        <f>+IS!K7/365*BS!J52</f>
        <v>0</v>
      </c>
      <c r="K8" s="208">
        <f>+IS!L7/365*BS!K52</f>
        <v>0</v>
      </c>
      <c r="L8" s="208">
        <f>+IS!M7/365*BS!L52</f>
        <v>0</v>
      </c>
      <c r="M8" s="208">
        <f>+IS!N7/365*BS!M52</f>
        <v>0</v>
      </c>
      <c r="N8" s="208">
        <f>+IS!O7/365*BS!N52</f>
        <v>0</v>
      </c>
      <c r="O8" s="208">
        <f>+IS!P7/365*BS!O52</f>
        <v>0</v>
      </c>
    </row>
    <row r="9" spans="1:15">
      <c r="A9" s="221" t="s">
        <v>132</v>
      </c>
      <c r="B9" s="294">
        <v>0</v>
      </c>
      <c r="C9" s="295"/>
      <c r="D9" s="296"/>
      <c r="E9" s="208">
        <f>+SUM(B9:D9)</f>
        <v>0</v>
      </c>
      <c r="F9" s="208">
        <f>+IS!G10/365*BS!F53</f>
        <v>0</v>
      </c>
      <c r="G9" s="208">
        <f>+IS!H10/365*BS!G53</f>
        <v>0</v>
      </c>
      <c r="H9" s="208">
        <f>+IS!I10/365*BS!H53</f>
        <v>0</v>
      </c>
      <c r="I9" s="208">
        <f>+IS!J10/365*BS!I53</f>
        <v>0</v>
      </c>
      <c r="J9" s="208">
        <f>+IS!K10/365*BS!J53</f>
        <v>0</v>
      </c>
      <c r="K9" s="208">
        <f>+IS!L10/365*BS!K53</f>
        <v>0</v>
      </c>
      <c r="L9" s="208">
        <f>+IS!M10/365*BS!L53</f>
        <v>0</v>
      </c>
      <c r="M9" s="208">
        <f>+IS!N10/365*BS!M53</f>
        <v>0</v>
      </c>
      <c r="N9" s="208">
        <f>+IS!O10/365*BS!N53</f>
        <v>0</v>
      </c>
      <c r="O9" s="208">
        <f>+IS!P10/365*BS!O53</f>
        <v>0</v>
      </c>
    </row>
    <row r="10" spans="1:15">
      <c r="A10" s="221" t="s">
        <v>133</v>
      </c>
      <c r="B10" s="46">
        <v>0</v>
      </c>
      <c r="C10" s="295"/>
      <c r="D10" s="296"/>
      <c r="E10" s="191">
        <f>+SUM(B10:D10)</f>
        <v>0</v>
      </c>
      <c r="F10" s="191">
        <f>+IS!G7*BS!F54</f>
        <v>0</v>
      </c>
      <c r="G10" s="191">
        <f>+IS!H7*BS!G54</f>
        <v>0</v>
      </c>
      <c r="H10" s="191">
        <f>+IS!I7*BS!H54</f>
        <v>0</v>
      </c>
      <c r="I10" s="191">
        <f>+IS!J7*BS!I54</f>
        <v>0</v>
      </c>
      <c r="J10" s="191">
        <f>+IS!K7*BS!J54</f>
        <v>0</v>
      </c>
      <c r="K10" s="191">
        <f>+IS!L7*BS!K54</f>
        <v>0</v>
      </c>
      <c r="L10" s="191">
        <f>+IS!M7*BS!L54</f>
        <v>0</v>
      </c>
      <c r="M10" s="191">
        <f>+IS!N7*BS!M54</f>
        <v>0</v>
      </c>
      <c r="N10" s="191">
        <f>+IS!O7*BS!N54</f>
        <v>0</v>
      </c>
      <c r="O10" s="191">
        <f>+IS!P7*BS!O54</f>
        <v>0</v>
      </c>
    </row>
    <row r="11" spans="1:15">
      <c r="A11" s="297" t="s">
        <v>134</v>
      </c>
      <c r="B11" s="298">
        <f>SUM(B7:B10)</f>
        <v>0</v>
      </c>
      <c r="C11" s="295"/>
      <c r="D11" s="296"/>
      <c r="E11" s="298">
        <f t="shared" ref="E11:O11" si="0">SUM(E7:E10)</f>
        <v>0</v>
      </c>
      <c r="F11" s="298" t="e">
        <f ca="1" t="shared" si="0"/>
        <v>#VALUE!</v>
      </c>
      <c r="G11" s="298" t="e">
        <f ca="1" t="shared" si="0"/>
        <v>#VALUE!</v>
      </c>
      <c r="H11" s="298" t="e">
        <f ca="1" t="shared" si="0"/>
        <v>#VALUE!</v>
      </c>
      <c r="I11" s="298" t="e">
        <f ca="1" t="shared" si="0"/>
        <v>#VALUE!</v>
      </c>
      <c r="J11" s="298" t="e">
        <f ca="1" t="shared" si="0"/>
        <v>#VALUE!</v>
      </c>
      <c r="K11" s="298" t="e">
        <f ca="1" t="shared" si="0"/>
        <v>#VALUE!</v>
      </c>
      <c r="L11" s="298" t="e">
        <f ca="1" t="shared" si="0"/>
        <v>#VALUE!</v>
      </c>
      <c r="M11" s="298" t="e">
        <f ca="1" t="shared" si="0"/>
        <v>#VALUE!</v>
      </c>
      <c r="N11" s="298" t="e">
        <f ca="1" t="shared" si="0"/>
        <v>#VALUE!</v>
      </c>
      <c r="O11" s="298" t="e">
        <f ca="1" t="shared" si="0"/>
        <v>#VALUE!</v>
      </c>
    </row>
    <row r="12" spans="1:15">
      <c r="A12" s="299"/>
      <c r="B12" s="300"/>
      <c r="C12" s="295"/>
      <c r="D12" s="296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</row>
    <row r="13" spans="1:15">
      <c r="A13" s="221" t="s">
        <v>135</v>
      </c>
      <c r="B13" s="294">
        <v>0</v>
      </c>
      <c r="C13" s="295"/>
      <c r="D13" s="296"/>
      <c r="E13" s="208">
        <f>SUM(B13:D13)</f>
        <v>0</v>
      </c>
      <c r="F13" s="208">
        <f>E13-CF!B9-CF!B25</f>
        <v>0</v>
      </c>
      <c r="G13" s="208">
        <f>F13-CF!C9-CF!C25</f>
        <v>0</v>
      </c>
      <c r="H13" s="208">
        <f>G13-CF!D9-CF!D25</f>
        <v>0</v>
      </c>
      <c r="I13" s="208">
        <f>H13-CF!E9-CF!E25</f>
        <v>0</v>
      </c>
      <c r="J13" s="208">
        <f>I13-CF!F9-CF!F25</f>
        <v>0</v>
      </c>
      <c r="K13" s="208">
        <f>J13-CF!G9-CF!G25</f>
        <v>0</v>
      </c>
      <c r="L13" s="208">
        <f>K13-CF!H9-CF!H25</f>
        <v>0</v>
      </c>
      <c r="M13" s="208">
        <f>L13-CF!I9-CF!I25</f>
        <v>0</v>
      </c>
      <c r="N13" s="208">
        <f>M13-CF!J9-CF!J25</f>
        <v>0</v>
      </c>
      <c r="O13" s="208">
        <f>N13-CF!K9-CF!K25</f>
        <v>0</v>
      </c>
    </row>
    <row r="14" spans="1:15">
      <c r="A14" s="221" t="s">
        <v>136</v>
      </c>
      <c r="B14" s="294">
        <v>0</v>
      </c>
      <c r="C14" s="295">
        <f>+TS!I9+BS!D40+B14</f>
        <v>3922.5912</v>
      </c>
      <c r="D14" s="296">
        <f>-B14</f>
        <v>0</v>
      </c>
      <c r="E14" s="208">
        <f>+SUM(B14:D14)</f>
        <v>3922.5912</v>
      </c>
      <c r="F14" s="208">
        <f>+E14</f>
        <v>3922.5912</v>
      </c>
      <c r="G14" s="208">
        <f t="shared" ref="G14:O14" si="1">+F14</f>
        <v>3922.5912</v>
      </c>
      <c r="H14" s="208">
        <f t="shared" si="1"/>
        <v>3922.5912</v>
      </c>
      <c r="I14" s="208">
        <f t="shared" si="1"/>
        <v>3922.5912</v>
      </c>
      <c r="J14" s="208">
        <f t="shared" si="1"/>
        <v>3922.5912</v>
      </c>
      <c r="K14" s="208">
        <f t="shared" si="1"/>
        <v>3922.5912</v>
      </c>
      <c r="L14" s="208">
        <f t="shared" si="1"/>
        <v>3922.5912</v>
      </c>
      <c r="M14" s="208">
        <f t="shared" si="1"/>
        <v>3922.5912</v>
      </c>
      <c r="N14" s="208">
        <f t="shared" si="1"/>
        <v>3922.5912</v>
      </c>
      <c r="O14" s="208">
        <f t="shared" si="1"/>
        <v>3922.5912</v>
      </c>
    </row>
    <row r="15" spans="1:15">
      <c r="A15" s="221" t="s">
        <v>137</v>
      </c>
      <c r="B15" s="294">
        <v>0</v>
      </c>
      <c r="C15" s="295"/>
      <c r="D15" s="296"/>
      <c r="E15" s="208">
        <f>+SUM(B15:D15)</f>
        <v>0</v>
      </c>
      <c r="F15" s="208">
        <f>+E15-IS!G22</f>
        <v>0</v>
      </c>
      <c r="G15" s="208">
        <f>+F15-IS!H22</f>
        <v>0</v>
      </c>
      <c r="H15" s="208">
        <f>+G15-IS!I22</f>
        <v>0</v>
      </c>
      <c r="I15" s="208">
        <f>+H15-IS!J22</f>
        <v>0</v>
      </c>
      <c r="J15" s="208">
        <f>+I15-IS!K22</f>
        <v>0</v>
      </c>
      <c r="K15" s="208">
        <f>+J15-IS!L22</f>
        <v>0</v>
      </c>
      <c r="L15" s="208">
        <f>+K15-IS!M22</f>
        <v>0</v>
      </c>
      <c r="M15" s="208">
        <f>+L15-IS!N22</f>
        <v>0</v>
      </c>
      <c r="N15" s="208">
        <f>+M15-IS!O22</f>
        <v>0</v>
      </c>
      <c r="O15" s="208">
        <f>+N15-IS!P22</f>
        <v>0</v>
      </c>
    </row>
    <row r="16" spans="1:15">
      <c r="A16" s="221" t="s">
        <v>138</v>
      </c>
      <c r="B16" s="294">
        <v>0</v>
      </c>
      <c r="C16" s="295"/>
      <c r="D16" s="296"/>
      <c r="E16" s="208">
        <f>+SUM(B16:D16)</f>
        <v>0</v>
      </c>
      <c r="F16" s="208">
        <f>+E16</f>
        <v>0</v>
      </c>
      <c r="G16" s="208">
        <f t="shared" ref="G16:O16" si="2">+F16</f>
        <v>0</v>
      </c>
      <c r="H16" s="208">
        <f t="shared" si="2"/>
        <v>0</v>
      </c>
      <c r="I16" s="208">
        <f t="shared" si="2"/>
        <v>0</v>
      </c>
      <c r="J16" s="208">
        <f t="shared" si="2"/>
        <v>0</v>
      </c>
      <c r="K16" s="208">
        <f t="shared" si="2"/>
        <v>0</v>
      </c>
      <c r="L16" s="208">
        <f t="shared" si="2"/>
        <v>0</v>
      </c>
      <c r="M16" s="208">
        <f t="shared" si="2"/>
        <v>0</v>
      </c>
      <c r="N16" s="208">
        <f t="shared" si="2"/>
        <v>0</v>
      </c>
      <c r="O16" s="208">
        <f t="shared" si="2"/>
        <v>0</v>
      </c>
    </row>
    <row r="17" spans="1:15">
      <c r="A17" s="221" t="s">
        <v>139</v>
      </c>
      <c r="B17" s="301">
        <v>0</v>
      </c>
      <c r="C17" s="295">
        <f>+TS!I12</f>
        <v>0</v>
      </c>
      <c r="D17" s="296"/>
      <c r="E17" s="191">
        <f>+SUM(B17:D17)</f>
        <v>0</v>
      </c>
      <c r="F17" s="191">
        <f>+E17-IS!G38</f>
        <v>0</v>
      </c>
      <c r="G17" s="191">
        <f>+F17-IS!H38</f>
        <v>0</v>
      </c>
      <c r="H17" s="191">
        <f>+G17-IS!I38</f>
        <v>0</v>
      </c>
      <c r="I17" s="191">
        <f>+H17-IS!J38</f>
        <v>0</v>
      </c>
      <c r="J17" s="191">
        <f>+I17-IS!K38</f>
        <v>0</v>
      </c>
      <c r="K17" s="191">
        <f>+J17-IS!L38</f>
        <v>0</v>
      </c>
      <c r="L17" s="191">
        <f>+K17-IS!M38</f>
        <v>0</v>
      </c>
      <c r="M17" s="191">
        <f>+L17-IS!N38</f>
        <v>0</v>
      </c>
      <c r="N17" s="191">
        <f>+M17-IS!O38</f>
        <v>0</v>
      </c>
      <c r="O17" s="191">
        <f>+N17-IS!P38</f>
        <v>0</v>
      </c>
    </row>
    <row r="18" ht="15.15" spans="1:15">
      <c r="A18" s="297" t="s">
        <v>140</v>
      </c>
      <c r="B18" s="198">
        <f>SUM(B13:B17)+B11</f>
        <v>0</v>
      </c>
      <c r="C18" s="295"/>
      <c r="D18" s="296"/>
      <c r="E18" s="198">
        <f t="shared" ref="E18:O18" si="3">SUM(E13:E17)+E11</f>
        <v>3922.5912</v>
      </c>
      <c r="F18" s="198" t="e">
        <f ca="1" t="shared" si="3"/>
        <v>#VALUE!</v>
      </c>
      <c r="G18" s="198" t="e">
        <f ca="1" t="shared" si="3"/>
        <v>#VALUE!</v>
      </c>
      <c r="H18" s="198" t="e">
        <f ca="1" t="shared" si="3"/>
        <v>#VALUE!</v>
      </c>
      <c r="I18" s="198" t="e">
        <f ca="1" t="shared" si="3"/>
        <v>#VALUE!</v>
      </c>
      <c r="J18" s="198" t="e">
        <f ca="1" t="shared" si="3"/>
        <v>#VALUE!</v>
      </c>
      <c r="K18" s="198" t="e">
        <f ca="1" t="shared" si="3"/>
        <v>#VALUE!</v>
      </c>
      <c r="L18" s="198" t="e">
        <f ca="1" t="shared" si="3"/>
        <v>#VALUE!</v>
      </c>
      <c r="M18" s="198" t="e">
        <f ca="1" t="shared" si="3"/>
        <v>#VALUE!</v>
      </c>
      <c r="N18" s="198" t="e">
        <f ca="1" t="shared" si="3"/>
        <v>#VALUE!</v>
      </c>
      <c r="O18" s="198" t="e">
        <f ca="1" t="shared" si="3"/>
        <v>#VALUE!</v>
      </c>
    </row>
    <row r="19" ht="15.15" spans="1:15">
      <c r="A19" s="221"/>
      <c r="B19" s="300"/>
      <c r="C19" s="295"/>
      <c r="D19" s="296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</row>
    <row r="20" spans="1:15">
      <c r="A20" s="221" t="s">
        <v>141</v>
      </c>
      <c r="B20" s="294">
        <v>0</v>
      </c>
      <c r="C20" s="295"/>
      <c r="D20" s="296"/>
      <c r="E20" s="208">
        <f>+SUM(B20:D20)</f>
        <v>0</v>
      </c>
      <c r="F20" s="208">
        <f>+IS!G10/365*BS!F57</f>
        <v>0</v>
      </c>
      <c r="G20" s="208">
        <f>+IS!H10/365*BS!G57</f>
        <v>0</v>
      </c>
      <c r="H20" s="208">
        <f>+IS!I10/365*BS!H57</f>
        <v>0</v>
      </c>
      <c r="I20" s="208">
        <f>+IS!J10/365*BS!I57</f>
        <v>0</v>
      </c>
      <c r="J20" s="208">
        <f>+IS!K10/365*BS!J57</f>
        <v>0</v>
      </c>
      <c r="K20" s="208">
        <f>+IS!L10/365*BS!K57</f>
        <v>0</v>
      </c>
      <c r="L20" s="208">
        <f>+IS!M10/365*BS!L57</f>
        <v>0</v>
      </c>
      <c r="M20" s="208">
        <f>+IS!N10/365*BS!M57</f>
        <v>0</v>
      </c>
      <c r="N20" s="208">
        <f>+IS!O10/365*BS!N57</f>
        <v>0</v>
      </c>
      <c r="O20" s="208">
        <f>+IS!P10/365*BS!O57</f>
        <v>0</v>
      </c>
    </row>
    <row r="21" spans="1:15">
      <c r="A21" s="221" t="s">
        <v>142</v>
      </c>
      <c r="B21" s="294">
        <v>0</v>
      </c>
      <c r="C21" s="295"/>
      <c r="D21" s="296"/>
      <c r="E21" s="208">
        <f>+SUM(B21:D21)</f>
        <v>0</v>
      </c>
      <c r="F21" s="208">
        <f>+IS!G7*BS!F58</f>
        <v>0</v>
      </c>
      <c r="G21" s="208">
        <f>+IS!H7*BS!G58</f>
        <v>0</v>
      </c>
      <c r="H21" s="208">
        <f>+IS!I7*BS!H58</f>
        <v>0</v>
      </c>
      <c r="I21" s="208">
        <f>+IS!J7*BS!I58</f>
        <v>0</v>
      </c>
      <c r="J21" s="208">
        <f>+IS!K7*BS!J58</f>
        <v>0</v>
      </c>
      <c r="K21" s="208">
        <f>+IS!L7*BS!K58</f>
        <v>0</v>
      </c>
      <c r="L21" s="208">
        <f>+IS!M7*BS!L58</f>
        <v>0</v>
      </c>
      <c r="M21" s="208">
        <f>+IS!N7*BS!M58</f>
        <v>0</v>
      </c>
      <c r="N21" s="208">
        <f>+IS!O7*BS!N58</f>
        <v>0</v>
      </c>
      <c r="O21" s="208">
        <f>+IS!P7*BS!O58</f>
        <v>0</v>
      </c>
    </row>
    <row r="22" spans="1:15">
      <c r="A22" s="221" t="s">
        <v>143</v>
      </c>
      <c r="B22" s="46">
        <v>0</v>
      </c>
      <c r="C22" s="295"/>
      <c r="D22" s="296"/>
      <c r="E22" s="191">
        <f>+SUM(B22:D22)</f>
        <v>0</v>
      </c>
      <c r="F22" s="191">
        <f>+IS!G7*BS!F59</f>
        <v>0</v>
      </c>
      <c r="G22" s="191">
        <f>+IS!H7*BS!G59</f>
        <v>0</v>
      </c>
      <c r="H22" s="191">
        <f>+IS!I7*BS!H59</f>
        <v>0</v>
      </c>
      <c r="I22" s="191">
        <f>+IS!J7*BS!I59</f>
        <v>0</v>
      </c>
      <c r="J22" s="191">
        <f>+IS!K7*BS!J59</f>
        <v>0</v>
      </c>
      <c r="K22" s="191">
        <f>+IS!L7*BS!K59</f>
        <v>0</v>
      </c>
      <c r="L22" s="191">
        <f>+IS!M7*BS!L59</f>
        <v>0</v>
      </c>
      <c r="M22" s="191">
        <f>+IS!N7*BS!M59</f>
        <v>0</v>
      </c>
      <c r="N22" s="191">
        <f>+IS!O7*BS!N59</f>
        <v>0</v>
      </c>
      <c r="O22" s="191">
        <f>+IS!P7*BS!O59</f>
        <v>0</v>
      </c>
    </row>
    <row r="23" spans="1:15">
      <c r="A23" s="297" t="s">
        <v>144</v>
      </c>
      <c r="B23" s="298">
        <f>SUM(B20:B22)</f>
        <v>0</v>
      </c>
      <c r="C23" s="295"/>
      <c r="D23" s="296"/>
      <c r="E23" s="298">
        <f t="shared" ref="E23:O23" si="4">SUM(E20:E22)</f>
        <v>0</v>
      </c>
      <c r="F23" s="298">
        <f t="shared" si="4"/>
        <v>0</v>
      </c>
      <c r="G23" s="298">
        <f t="shared" si="4"/>
        <v>0</v>
      </c>
      <c r="H23" s="298">
        <f t="shared" si="4"/>
        <v>0</v>
      </c>
      <c r="I23" s="298">
        <f t="shared" si="4"/>
        <v>0</v>
      </c>
      <c r="J23" s="298">
        <f t="shared" si="4"/>
        <v>0</v>
      </c>
      <c r="K23" s="298">
        <f t="shared" si="4"/>
        <v>0</v>
      </c>
      <c r="L23" s="298">
        <f t="shared" si="4"/>
        <v>0</v>
      </c>
      <c r="M23" s="298">
        <f t="shared" si="4"/>
        <v>0</v>
      </c>
      <c r="N23" s="298">
        <f t="shared" si="4"/>
        <v>0</v>
      </c>
      <c r="O23" s="298">
        <f t="shared" si="4"/>
        <v>0</v>
      </c>
    </row>
    <row r="24" spans="1:20">
      <c r="A24" s="299"/>
      <c r="B24" s="300"/>
      <c r="C24" s="295"/>
      <c r="D24" s="29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T24" s="334"/>
    </row>
    <row r="25" spans="1:15">
      <c r="A25" s="286" t="s">
        <v>19</v>
      </c>
      <c r="B25" s="294">
        <v>0</v>
      </c>
      <c r="C25" s="295">
        <f>+TS!B9</f>
        <v>0</v>
      </c>
      <c r="D25" s="296"/>
      <c r="E25" s="208">
        <f t="shared" ref="E25:E36" si="5">+SUM(B25:D25)</f>
        <v>0</v>
      </c>
      <c r="F25" s="208" t="e">
        <f ca="1">DS!C26</f>
        <v>#VALUE!</v>
      </c>
      <c r="G25" s="208" t="e">
        <f ca="1">DS!D26</f>
        <v>#VALUE!</v>
      </c>
      <c r="H25" s="208" t="e">
        <f ca="1">DS!E26</f>
        <v>#VALUE!</v>
      </c>
      <c r="I25" s="208" t="e">
        <f ca="1">DS!F26</f>
        <v>#VALUE!</v>
      </c>
      <c r="J25" s="208" t="e">
        <f ca="1">DS!G26</f>
        <v>#VALUE!</v>
      </c>
      <c r="K25" s="208" t="e">
        <f ca="1">DS!H26</f>
        <v>#VALUE!</v>
      </c>
      <c r="L25" s="208" t="e">
        <f ca="1">DS!I26</f>
        <v>#VALUE!</v>
      </c>
      <c r="M25" s="208" t="e">
        <f ca="1">DS!J26</f>
        <v>#VALUE!</v>
      </c>
      <c r="N25" s="208" t="e">
        <f ca="1">DS!K26</f>
        <v>#VALUE!</v>
      </c>
      <c r="O25" s="208" t="e">
        <f ca="1">DS!L26</f>
        <v>#VALUE!</v>
      </c>
    </row>
    <row r="26" spans="1:15">
      <c r="A26" s="286" t="s">
        <v>23</v>
      </c>
      <c r="B26" s="294">
        <v>0</v>
      </c>
      <c r="C26" s="295">
        <f>+TS!B10</f>
        <v>0</v>
      </c>
      <c r="D26" s="296"/>
      <c r="E26" s="208">
        <f t="shared" si="5"/>
        <v>0</v>
      </c>
      <c r="F26" s="208">
        <f ca="1">DS!C42</f>
        <v>0</v>
      </c>
      <c r="G26" s="208">
        <f ca="1">DS!D42</f>
        <v>0</v>
      </c>
      <c r="H26" s="208">
        <f ca="1">DS!E42</f>
        <v>0</v>
      </c>
      <c r="I26" s="208">
        <f ca="1">DS!F42</f>
        <v>0</v>
      </c>
      <c r="J26" s="208">
        <f ca="1">DS!G42</f>
        <v>0</v>
      </c>
      <c r="K26" s="208">
        <f ca="1">DS!H42</f>
        <v>0</v>
      </c>
      <c r="L26" s="208">
        <f ca="1">DS!I42</f>
        <v>0</v>
      </c>
      <c r="M26" s="208">
        <f ca="1">DS!J42</f>
        <v>0</v>
      </c>
      <c r="N26" s="208">
        <f ca="1">DS!K42</f>
        <v>0</v>
      </c>
      <c r="O26" s="208">
        <f ca="1">DS!L42</f>
        <v>0</v>
      </c>
    </row>
    <row r="27" spans="1:15">
      <c r="A27" s="286" t="s">
        <v>27</v>
      </c>
      <c r="B27" s="294">
        <v>0</v>
      </c>
      <c r="C27" s="295">
        <f>+TS!B11</f>
        <v>0</v>
      </c>
      <c r="D27" s="296"/>
      <c r="E27" s="208">
        <f t="shared" si="5"/>
        <v>0</v>
      </c>
      <c r="F27" s="208">
        <f ca="1">DS!C57</f>
        <v>0</v>
      </c>
      <c r="G27" s="208">
        <f ca="1">DS!D57</f>
        <v>0</v>
      </c>
      <c r="H27" s="208">
        <f ca="1">DS!E57</f>
        <v>0</v>
      </c>
      <c r="I27" s="208">
        <f ca="1">DS!F57</f>
        <v>0</v>
      </c>
      <c r="J27" s="208">
        <f ca="1">DS!G57</f>
        <v>0</v>
      </c>
      <c r="K27" s="208">
        <f ca="1">DS!H57</f>
        <v>0</v>
      </c>
      <c r="L27" s="208">
        <f ca="1">DS!I57</f>
        <v>0</v>
      </c>
      <c r="M27" s="208">
        <f ca="1">DS!J57</f>
        <v>0</v>
      </c>
      <c r="N27" s="208">
        <f ca="1">DS!K57</f>
        <v>0</v>
      </c>
      <c r="O27" s="208">
        <f ca="1">DS!L57</f>
        <v>0</v>
      </c>
    </row>
    <row r="28" spans="1:15">
      <c r="A28" s="286" t="s">
        <v>31</v>
      </c>
      <c r="B28" s="294">
        <v>0</v>
      </c>
      <c r="C28" s="295">
        <f>+TS!B12</f>
        <v>0</v>
      </c>
      <c r="D28" s="296"/>
      <c r="E28" s="208">
        <f t="shared" si="5"/>
        <v>0</v>
      </c>
      <c r="F28" s="208">
        <f ca="1">DS!C72</f>
        <v>0</v>
      </c>
      <c r="G28" s="208">
        <f ca="1">DS!D72</f>
        <v>0</v>
      </c>
      <c r="H28" s="208">
        <f ca="1">DS!E72</f>
        <v>0</v>
      </c>
      <c r="I28" s="208">
        <f ca="1">DS!F72</f>
        <v>0</v>
      </c>
      <c r="J28" s="208">
        <f ca="1">DS!G72</f>
        <v>0</v>
      </c>
      <c r="K28" s="208">
        <f ca="1">DS!H72</f>
        <v>0</v>
      </c>
      <c r="L28" s="208">
        <f ca="1">DS!I72</f>
        <v>0</v>
      </c>
      <c r="M28" s="208">
        <f ca="1">DS!J72</f>
        <v>0</v>
      </c>
      <c r="N28" s="208">
        <f ca="1">DS!K72</f>
        <v>0</v>
      </c>
      <c r="O28" s="208">
        <f ca="1">DS!L72</f>
        <v>0</v>
      </c>
    </row>
    <row r="29" spans="1:15">
      <c r="A29" s="286" t="s">
        <v>78</v>
      </c>
      <c r="B29" s="294">
        <v>0</v>
      </c>
      <c r="C29" s="295"/>
      <c r="D29" s="296">
        <f>-B29</f>
        <v>0</v>
      </c>
      <c r="E29" s="208">
        <f t="shared" si="5"/>
        <v>0</v>
      </c>
      <c r="F29" s="208">
        <f ca="1">DS!C87</f>
        <v>0</v>
      </c>
      <c r="G29" s="208">
        <f ca="1">DS!D87</f>
        <v>0</v>
      </c>
      <c r="H29" s="208">
        <f ca="1">DS!E87</f>
        <v>0</v>
      </c>
      <c r="I29" s="208">
        <f ca="1">DS!F87</f>
        <v>0</v>
      </c>
      <c r="J29" s="208">
        <f ca="1">DS!G87</f>
        <v>0</v>
      </c>
      <c r="K29" s="208">
        <f ca="1">DS!H87</f>
        <v>0</v>
      </c>
      <c r="L29" s="208">
        <f ca="1">DS!I87</f>
        <v>0</v>
      </c>
      <c r="M29" s="208">
        <f ca="1">DS!J87</f>
        <v>0</v>
      </c>
      <c r="N29" s="208">
        <f ca="1">DS!K87</f>
        <v>0</v>
      </c>
      <c r="O29" s="208">
        <f ca="1">DS!L87</f>
        <v>0</v>
      </c>
    </row>
    <row r="30" spans="1:19">
      <c r="A30" s="286" t="s">
        <v>33</v>
      </c>
      <c r="B30" s="294">
        <v>0</v>
      </c>
      <c r="C30" s="295">
        <f>+TS!B13</f>
        <v>0</v>
      </c>
      <c r="D30" s="296"/>
      <c r="E30" s="208">
        <f t="shared" si="5"/>
        <v>0</v>
      </c>
      <c r="F30" s="208">
        <f>DS!C100</f>
        <v>0</v>
      </c>
      <c r="G30" s="208">
        <f>DS!D100</f>
        <v>0</v>
      </c>
      <c r="H30" s="208">
        <f>DS!E100</f>
        <v>0</v>
      </c>
      <c r="I30" s="208">
        <f>DS!F100</f>
        <v>0</v>
      </c>
      <c r="J30" s="208">
        <f>DS!G100</f>
        <v>0</v>
      </c>
      <c r="K30" s="208">
        <f>DS!H100</f>
        <v>0</v>
      </c>
      <c r="L30" s="208">
        <f>DS!I100</f>
        <v>0</v>
      </c>
      <c r="M30" s="208">
        <f>DS!J100</f>
        <v>0</v>
      </c>
      <c r="N30" s="208">
        <f>DS!K100</f>
        <v>0</v>
      </c>
      <c r="O30" s="208">
        <f>DS!L100</f>
        <v>0</v>
      </c>
      <c r="S30" s="334"/>
    </row>
    <row r="31" spans="1:15">
      <c r="A31" s="286" t="s">
        <v>37</v>
      </c>
      <c r="B31" s="294">
        <v>0</v>
      </c>
      <c r="C31" s="295">
        <f>+TS!B14</f>
        <v>0</v>
      </c>
      <c r="D31" s="296"/>
      <c r="E31" s="208">
        <f t="shared" si="5"/>
        <v>0</v>
      </c>
      <c r="F31" s="208">
        <f>DS!C112</f>
        <v>0</v>
      </c>
      <c r="G31" s="208">
        <f>DS!D112</f>
        <v>0</v>
      </c>
      <c r="H31" s="208">
        <f>DS!E112</f>
        <v>0</v>
      </c>
      <c r="I31" s="208">
        <f>DS!F112</f>
        <v>0</v>
      </c>
      <c r="J31" s="208">
        <f>DS!G112</f>
        <v>0</v>
      </c>
      <c r="K31" s="208">
        <f>DS!H112</f>
        <v>0</v>
      </c>
      <c r="L31" s="208">
        <f>DS!I112</f>
        <v>0</v>
      </c>
      <c r="M31" s="208">
        <f>DS!J112</f>
        <v>0</v>
      </c>
      <c r="N31" s="208">
        <f>DS!K112</f>
        <v>0</v>
      </c>
      <c r="O31" s="208">
        <f>DS!L112</f>
        <v>0</v>
      </c>
    </row>
    <row r="32" spans="1:15">
      <c r="A32" s="286" t="s">
        <v>145</v>
      </c>
      <c r="B32" s="294">
        <v>0</v>
      </c>
      <c r="C32" s="295"/>
      <c r="D32" s="296">
        <f>-B32</f>
        <v>0</v>
      </c>
      <c r="E32" s="208">
        <f t="shared" si="5"/>
        <v>0</v>
      </c>
      <c r="F32" s="208">
        <f>E32</f>
        <v>0</v>
      </c>
      <c r="G32" s="208">
        <f t="shared" ref="G32:O36" si="6">F32</f>
        <v>0</v>
      </c>
      <c r="H32" s="208">
        <f t="shared" si="6"/>
        <v>0</v>
      </c>
      <c r="I32" s="208">
        <f t="shared" si="6"/>
        <v>0</v>
      </c>
      <c r="J32" s="208">
        <f t="shared" si="6"/>
        <v>0</v>
      </c>
      <c r="K32" s="208">
        <f t="shared" si="6"/>
        <v>0</v>
      </c>
      <c r="L32" s="208">
        <f t="shared" si="6"/>
        <v>0</v>
      </c>
      <c r="M32" s="208">
        <f t="shared" si="6"/>
        <v>0</v>
      </c>
      <c r="N32" s="208">
        <f t="shared" si="6"/>
        <v>0</v>
      </c>
      <c r="O32" s="208">
        <f t="shared" si="6"/>
        <v>0</v>
      </c>
    </row>
    <row r="33" spans="1:15">
      <c r="A33" s="286" t="s">
        <v>40</v>
      </c>
      <c r="B33" s="294">
        <v>0</v>
      </c>
      <c r="C33" s="295">
        <f>+TS!B15</f>
        <v>0</v>
      </c>
      <c r="D33" s="296"/>
      <c r="E33" s="208">
        <f t="shared" si="5"/>
        <v>0</v>
      </c>
      <c r="F33" s="208">
        <f>+DS!C123</f>
        <v>0</v>
      </c>
      <c r="G33" s="208">
        <f>+DS!D123</f>
        <v>0</v>
      </c>
      <c r="H33" s="208">
        <f>+DS!E123</f>
        <v>0</v>
      </c>
      <c r="I33" s="208">
        <f>+DS!F123</f>
        <v>0</v>
      </c>
      <c r="J33" s="208">
        <f>+DS!G123</f>
        <v>0</v>
      </c>
      <c r="K33" s="208">
        <f>+DS!H123</f>
        <v>0</v>
      </c>
      <c r="L33" s="208">
        <f>+DS!I123</f>
        <v>0</v>
      </c>
      <c r="M33" s="208">
        <f>+DS!J123</f>
        <v>0</v>
      </c>
      <c r="N33" s="208">
        <f>+DS!K123</f>
        <v>0</v>
      </c>
      <c r="O33" s="208">
        <f>+DS!L123</f>
        <v>0</v>
      </c>
    </row>
    <row r="34" spans="1:15">
      <c r="A34" s="286" t="s">
        <v>79</v>
      </c>
      <c r="B34" s="294">
        <v>0</v>
      </c>
      <c r="C34" s="295"/>
      <c r="D34" s="296"/>
      <c r="E34" s="208">
        <f t="shared" si="5"/>
        <v>0</v>
      </c>
      <c r="F34" s="208">
        <f>E34</f>
        <v>0</v>
      </c>
      <c r="G34" s="208">
        <f t="shared" si="6"/>
        <v>0</v>
      </c>
      <c r="H34" s="208">
        <f t="shared" si="6"/>
        <v>0</v>
      </c>
      <c r="I34" s="208">
        <f t="shared" si="6"/>
        <v>0</v>
      </c>
      <c r="J34" s="208">
        <f t="shared" si="6"/>
        <v>0</v>
      </c>
      <c r="K34" s="208">
        <f t="shared" si="6"/>
        <v>0</v>
      </c>
      <c r="L34" s="208">
        <f t="shared" si="6"/>
        <v>0</v>
      </c>
      <c r="M34" s="208">
        <f t="shared" si="6"/>
        <v>0</v>
      </c>
      <c r="N34" s="208">
        <f t="shared" si="6"/>
        <v>0</v>
      </c>
      <c r="O34" s="208">
        <f t="shared" si="6"/>
        <v>0</v>
      </c>
    </row>
    <row r="35" spans="1:15">
      <c r="A35" s="286" t="s">
        <v>146</v>
      </c>
      <c r="B35" s="294">
        <v>0</v>
      </c>
      <c r="C35" s="295"/>
      <c r="D35" s="296"/>
      <c r="E35" s="208">
        <f t="shared" si="5"/>
        <v>0</v>
      </c>
      <c r="F35" s="208">
        <f t="shared" ref="F35:O35" si="7">E35</f>
        <v>0</v>
      </c>
      <c r="G35" s="208">
        <f t="shared" si="7"/>
        <v>0</v>
      </c>
      <c r="H35" s="208">
        <f t="shared" si="7"/>
        <v>0</v>
      </c>
      <c r="I35" s="208">
        <f t="shared" si="7"/>
        <v>0</v>
      </c>
      <c r="J35" s="208">
        <f t="shared" si="7"/>
        <v>0</v>
      </c>
      <c r="K35" s="208">
        <f t="shared" si="7"/>
        <v>0</v>
      </c>
      <c r="L35" s="208">
        <f t="shared" si="7"/>
        <v>0</v>
      </c>
      <c r="M35" s="208">
        <f t="shared" si="7"/>
        <v>0</v>
      </c>
      <c r="N35" s="208">
        <f t="shared" si="7"/>
        <v>0</v>
      </c>
      <c r="O35" s="208">
        <f t="shared" si="7"/>
        <v>0</v>
      </c>
    </row>
    <row r="36" spans="1:15">
      <c r="A36" s="286" t="s">
        <v>147</v>
      </c>
      <c r="B36" s="46">
        <v>0</v>
      </c>
      <c r="C36" s="295"/>
      <c r="D36" s="296"/>
      <c r="E36" s="191">
        <f t="shared" si="5"/>
        <v>0</v>
      </c>
      <c r="F36" s="191">
        <f>E36</f>
        <v>0</v>
      </c>
      <c r="G36" s="191">
        <f t="shared" si="6"/>
        <v>0</v>
      </c>
      <c r="H36" s="191">
        <f t="shared" si="6"/>
        <v>0</v>
      </c>
      <c r="I36" s="191">
        <f t="shared" si="6"/>
        <v>0</v>
      </c>
      <c r="J36" s="191">
        <f t="shared" si="6"/>
        <v>0</v>
      </c>
      <c r="K36" s="191">
        <f t="shared" si="6"/>
        <v>0</v>
      </c>
      <c r="L36" s="191">
        <f t="shared" si="6"/>
        <v>0</v>
      </c>
      <c r="M36" s="191">
        <f t="shared" si="6"/>
        <v>0</v>
      </c>
      <c r="N36" s="191">
        <f t="shared" si="6"/>
        <v>0</v>
      </c>
      <c r="O36" s="191">
        <f t="shared" si="6"/>
        <v>0</v>
      </c>
    </row>
    <row r="37" spans="1:15">
      <c r="A37" s="297" t="s">
        <v>148</v>
      </c>
      <c r="B37" s="298">
        <f>SUM(B25:B36)+B23</f>
        <v>0</v>
      </c>
      <c r="C37" s="295"/>
      <c r="D37" s="296"/>
      <c r="E37" s="298">
        <f t="shared" ref="E37:O37" si="8">SUM(E25:E36)+E23</f>
        <v>0</v>
      </c>
      <c r="F37" s="298" t="e">
        <f ca="1" t="shared" si="8"/>
        <v>#VALUE!</v>
      </c>
      <c r="G37" s="298" t="e">
        <f ca="1" t="shared" si="8"/>
        <v>#VALUE!</v>
      </c>
      <c r="H37" s="298" t="e">
        <f ca="1" t="shared" si="8"/>
        <v>#VALUE!</v>
      </c>
      <c r="I37" s="298" t="e">
        <f ca="1" t="shared" si="8"/>
        <v>#VALUE!</v>
      </c>
      <c r="J37" s="298" t="e">
        <f ca="1" t="shared" si="8"/>
        <v>#VALUE!</v>
      </c>
      <c r="K37" s="298" t="e">
        <f ca="1" t="shared" si="8"/>
        <v>#VALUE!</v>
      </c>
      <c r="L37" s="298" t="e">
        <f ca="1" t="shared" si="8"/>
        <v>#VALUE!</v>
      </c>
      <c r="M37" s="298" t="e">
        <f ca="1" t="shared" si="8"/>
        <v>#VALUE!</v>
      </c>
      <c r="N37" s="298" t="e">
        <f ca="1" t="shared" si="8"/>
        <v>#VALUE!</v>
      </c>
      <c r="O37" s="298" t="e">
        <f ca="1" t="shared" si="8"/>
        <v>#VALUE!</v>
      </c>
    </row>
    <row r="38" spans="1:15">
      <c r="A38" s="299"/>
      <c r="B38" s="254"/>
      <c r="C38" s="295"/>
      <c r="D38" s="296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</row>
    <row r="39" spans="1:15">
      <c r="A39" s="286" t="s">
        <v>149</v>
      </c>
      <c r="B39" s="294">
        <v>0</v>
      </c>
      <c r="C39" s="295"/>
      <c r="D39" s="296"/>
      <c r="E39" s="208">
        <f>+SUM(B39:D39)</f>
        <v>0</v>
      </c>
      <c r="F39" s="208">
        <f>+E39</f>
        <v>0</v>
      </c>
      <c r="G39" s="208">
        <f t="shared" ref="G39:O39" si="9">+F39</f>
        <v>0</v>
      </c>
      <c r="H39" s="208">
        <f t="shared" si="9"/>
        <v>0</v>
      </c>
      <c r="I39" s="208">
        <f t="shared" si="9"/>
        <v>0</v>
      </c>
      <c r="J39" s="208">
        <f t="shared" si="9"/>
        <v>0</v>
      </c>
      <c r="K39" s="208">
        <f t="shared" si="9"/>
        <v>0</v>
      </c>
      <c r="L39" s="208">
        <f t="shared" si="9"/>
        <v>0</v>
      </c>
      <c r="M39" s="208">
        <f t="shared" si="9"/>
        <v>0</v>
      </c>
      <c r="N39" s="208">
        <f t="shared" si="9"/>
        <v>0</v>
      </c>
      <c r="O39" s="208">
        <f t="shared" si="9"/>
        <v>0</v>
      </c>
    </row>
    <row r="40" spans="1:15">
      <c r="A40" s="286" t="s">
        <v>83</v>
      </c>
      <c r="B40" s="46">
        <v>0</v>
      </c>
      <c r="C40" s="295">
        <f>TS!B16-TS!I13-TS!I11</f>
        <v>3922.5912</v>
      </c>
      <c r="D40" s="296">
        <f>IF(TS!I9&gt;0,-B40,0)</f>
        <v>0</v>
      </c>
      <c r="E40" s="191">
        <f>+SUM(B40:D40)</f>
        <v>3922.5912</v>
      </c>
      <c r="F40" s="191" t="e">
        <f ca="1">E40+IS!G45+CF!B39</f>
        <v>#VALUE!</v>
      </c>
      <c r="G40" s="191" t="e">
        <f ca="1">F40+IS!H45+CF!C39</f>
        <v>#VALUE!</v>
      </c>
      <c r="H40" s="191" t="e">
        <f ca="1">G40+IS!I45+CF!D39</f>
        <v>#VALUE!</v>
      </c>
      <c r="I40" s="191" t="e">
        <f ca="1">H40+IS!J45+CF!E39</f>
        <v>#VALUE!</v>
      </c>
      <c r="J40" s="191" t="e">
        <f ca="1">I40+IS!K45+CF!F39</f>
        <v>#VALUE!</v>
      </c>
      <c r="K40" s="191" t="e">
        <f ca="1">J40+IS!L45+CF!G39</f>
        <v>#VALUE!</v>
      </c>
      <c r="L40" s="191" t="e">
        <f ca="1">K40+IS!M45+CF!H39</f>
        <v>#VALUE!</v>
      </c>
      <c r="M40" s="191" t="e">
        <f ca="1">L40+IS!N45+CF!I39</f>
        <v>#VALUE!</v>
      </c>
      <c r="N40" s="191" t="e">
        <f ca="1">M40+IS!O45+CF!J39</f>
        <v>#VALUE!</v>
      </c>
      <c r="O40" s="191" t="e">
        <f ca="1">N40+IS!P45+CF!K39</f>
        <v>#VALUE!</v>
      </c>
    </row>
    <row r="41" spans="1:15">
      <c r="A41" s="297" t="s">
        <v>150</v>
      </c>
      <c r="B41" s="284">
        <f>SUM(B39:B40)</f>
        <v>0</v>
      </c>
      <c r="C41" s="295"/>
      <c r="D41" s="296"/>
      <c r="E41" s="284">
        <f>SUM(E39:E40)</f>
        <v>3922.5912</v>
      </c>
      <c r="F41" s="284" t="e">
        <f ca="1" t="shared" ref="F41:O41" si="10">SUM(F39:F40)</f>
        <v>#VALUE!</v>
      </c>
      <c r="G41" s="284" t="e">
        <f ca="1" t="shared" si="10"/>
        <v>#VALUE!</v>
      </c>
      <c r="H41" s="284" t="e">
        <f ca="1" t="shared" si="10"/>
        <v>#VALUE!</v>
      </c>
      <c r="I41" s="284" t="e">
        <f ca="1" t="shared" si="10"/>
        <v>#VALUE!</v>
      </c>
      <c r="J41" s="284" t="e">
        <f ca="1" t="shared" si="10"/>
        <v>#VALUE!</v>
      </c>
      <c r="K41" s="284" t="e">
        <f ca="1" t="shared" si="10"/>
        <v>#VALUE!</v>
      </c>
      <c r="L41" s="284" t="e">
        <f ca="1" t="shared" si="10"/>
        <v>#VALUE!</v>
      </c>
      <c r="M41" s="284" t="e">
        <f ca="1" t="shared" si="10"/>
        <v>#VALUE!</v>
      </c>
      <c r="N41" s="284" t="e">
        <f ca="1" t="shared" si="10"/>
        <v>#VALUE!</v>
      </c>
      <c r="O41" s="284" t="e">
        <f ca="1" t="shared" si="10"/>
        <v>#VALUE!</v>
      </c>
    </row>
    <row r="42" spans="1:15">
      <c r="A42" s="286"/>
      <c r="B42" s="208" t="s">
        <v>48</v>
      </c>
      <c r="C42" s="295"/>
      <c r="D42" s="296"/>
      <c r="E42" s="196" t="s">
        <v>48</v>
      </c>
      <c r="F42" s="196" t="s">
        <v>48</v>
      </c>
      <c r="G42" s="196" t="s">
        <v>48</v>
      </c>
      <c r="H42" s="196" t="s">
        <v>48</v>
      </c>
      <c r="I42" s="196" t="s">
        <v>48</v>
      </c>
      <c r="J42" s="196" t="s">
        <v>48</v>
      </c>
      <c r="K42" s="196" t="s">
        <v>48</v>
      </c>
      <c r="L42" s="196" t="s">
        <v>48</v>
      </c>
      <c r="M42" s="196" t="s">
        <v>48</v>
      </c>
      <c r="N42" s="196" t="s">
        <v>48</v>
      </c>
      <c r="O42" s="196" t="s">
        <v>48</v>
      </c>
    </row>
    <row r="43" ht="15.15" spans="1:15">
      <c r="A43" s="297" t="s">
        <v>151</v>
      </c>
      <c r="B43" s="302">
        <f>+B41+B37</f>
        <v>0</v>
      </c>
      <c r="C43" s="303"/>
      <c r="D43" s="304"/>
      <c r="E43" s="302">
        <f t="shared" ref="E43:O43" si="11">+E41+E37</f>
        <v>3922.5912</v>
      </c>
      <c r="F43" s="302" t="e">
        <f ca="1" t="shared" si="11"/>
        <v>#VALUE!</v>
      </c>
      <c r="G43" s="302" t="e">
        <f ca="1" t="shared" si="11"/>
        <v>#VALUE!</v>
      </c>
      <c r="H43" s="302" t="e">
        <f ca="1" t="shared" si="11"/>
        <v>#VALUE!</v>
      </c>
      <c r="I43" s="302" t="e">
        <f ca="1" t="shared" si="11"/>
        <v>#VALUE!</v>
      </c>
      <c r="J43" s="302" t="e">
        <f ca="1" t="shared" si="11"/>
        <v>#VALUE!</v>
      </c>
      <c r="K43" s="302" t="e">
        <f ca="1" t="shared" si="11"/>
        <v>#VALUE!</v>
      </c>
      <c r="L43" s="302" t="e">
        <f ca="1" t="shared" si="11"/>
        <v>#VALUE!</v>
      </c>
      <c r="M43" s="302" t="e">
        <f ca="1" t="shared" si="11"/>
        <v>#VALUE!</v>
      </c>
      <c r="N43" s="302" t="e">
        <f ca="1" t="shared" si="11"/>
        <v>#VALUE!</v>
      </c>
      <c r="O43" s="302" t="e">
        <f ca="1" t="shared" si="11"/>
        <v>#VALUE!</v>
      </c>
    </row>
    <row r="44" ht="15.15" spans="1:15">
      <c r="A44" s="286"/>
      <c r="B44" s="300"/>
      <c r="C44" s="300"/>
      <c r="D44" s="300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</row>
    <row r="45" spans="1:15">
      <c r="A45" s="305" t="s">
        <v>152</v>
      </c>
      <c r="B45" s="306">
        <f>+B18-B43</f>
        <v>0</v>
      </c>
      <c r="C45" s="306"/>
      <c r="D45" s="306"/>
      <c r="E45" s="307">
        <f t="shared" ref="E45:O45" si="12">+E18-E43</f>
        <v>0</v>
      </c>
      <c r="F45" s="307" t="e">
        <f ca="1" t="shared" si="12"/>
        <v>#VALUE!</v>
      </c>
      <c r="G45" s="307" t="e">
        <f ca="1" t="shared" si="12"/>
        <v>#VALUE!</v>
      </c>
      <c r="H45" s="307" t="e">
        <f ca="1" t="shared" si="12"/>
        <v>#VALUE!</v>
      </c>
      <c r="I45" s="307" t="e">
        <f ca="1" t="shared" si="12"/>
        <v>#VALUE!</v>
      </c>
      <c r="J45" s="307" t="e">
        <f ca="1" t="shared" si="12"/>
        <v>#VALUE!</v>
      </c>
      <c r="K45" s="307" t="e">
        <f ca="1" t="shared" si="12"/>
        <v>#VALUE!</v>
      </c>
      <c r="L45" s="307" t="e">
        <f ca="1" t="shared" si="12"/>
        <v>#VALUE!</v>
      </c>
      <c r="M45" s="307" t="e">
        <f ca="1" t="shared" si="12"/>
        <v>#VALUE!</v>
      </c>
      <c r="N45" s="307" t="e">
        <f ca="1" t="shared" si="12"/>
        <v>#VALUE!</v>
      </c>
      <c r="O45" s="307" t="e">
        <f ca="1" t="shared" si="12"/>
        <v>#VALUE!</v>
      </c>
    </row>
    <row r="46" spans="1:15">
      <c r="A46" s="305"/>
      <c r="B46" s="306"/>
      <c r="C46" s="306"/>
      <c r="D46" s="306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</row>
    <row r="47" spans="1:15">
      <c r="A47" s="221" t="s">
        <v>153</v>
      </c>
      <c r="B47" s="208">
        <f>+SUM(B8:B10)-SUM(B20:B22)</f>
        <v>0</v>
      </c>
      <c r="C47" s="280"/>
      <c r="D47" s="280"/>
      <c r="E47" s="208">
        <f t="shared" ref="E47:O47" si="13">+SUM(E8:E10)-SUM(E20:E22)</f>
        <v>0</v>
      </c>
      <c r="F47" s="208">
        <f t="shared" si="13"/>
        <v>0</v>
      </c>
      <c r="G47" s="208">
        <f t="shared" si="13"/>
        <v>0</v>
      </c>
      <c r="H47" s="208">
        <f t="shared" si="13"/>
        <v>0</v>
      </c>
      <c r="I47" s="208">
        <f t="shared" si="13"/>
        <v>0</v>
      </c>
      <c r="J47" s="208">
        <f t="shared" si="13"/>
        <v>0</v>
      </c>
      <c r="K47" s="208">
        <f t="shared" si="13"/>
        <v>0</v>
      </c>
      <c r="L47" s="208">
        <f t="shared" si="13"/>
        <v>0</v>
      </c>
      <c r="M47" s="208">
        <f t="shared" si="13"/>
        <v>0</v>
      </c>
      <c r="N47" s="208">
        <f t="shared" si="13"/>
        <v>0</v>
      </c>
      <c r="O47" s="208">
        <f t="shared" si="13"/>
        <v>0</v>
      </c>
    </row>
    <row r="48" spans="1:15">
      <c r="A48" s="221" t="s">
        <v>154</v>
      </c>
      <c r="B48" s="300"/>
      <c r="C48" s="300"/>
      <c r="D48" s="300"/>
      <c r="E48" s="208"/>
      <c r="F48" s="208">
        <f>+E47-F47</f>
        <v>0</v>
      </c>
      <c r="G48" s="208">
        <f t="shared" ref="G48:O48" si="14">+F47-G47</f>
        <v>0</v>
      </c>
      <c r="H48" s="208">
        <f t="shared" si="14"/>
        <v>0</v>
      </c>
      <c r="I48" s="208">
        <f t="shared" si="14"/>
        <v>0</v>
      </c>
      <c r="J48" s="208">
        <f t="shared" si="14"/>
        <v>0</v>
      </c>
      <c r="K48" s="208">
        <f t="shared" si="14"/>
        <v>0</v>
      </c>
      <c r="L48" s="208">
        <f t="shared" si="14"/>
        <v>0</v>
      </c>
      <c r="M48" s="208">
        <f t="shared" si="14"/>
        <v>0</v>
      </c>
      <c r="N48" s="208">
        <f t="shared" si="14"/>
        <v>0</v>
      </c>
      <c r="O48" s="208">
        <f t="shared" si="14"/>
        <v>0</v>
      </c>
    </row>
    <row r="49" spans="1:1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1:15">
      <c r="A50" s="279" t="s">
        <v>155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1:15">
      <c r="A51" s="309" t="s">
        <v>156</v>
      </c>
      <c r="B51" s="310"/>
      <c r="C51" s="310"/>
      <c r="D51" s="310"/>
      <c r="E51" s="310"/>
      <c r="F51" s="311"/>
      <c r="G51" s="310"/>
      <c r="H51" s="310"/>
      <c r="I51" s="310"/>
      <c r="J51" s="310"/>
      <c r="K51" s="310"/>
      <c r="L51" s="310"/>
      <c r="M51" s="310"/>
      <c r="N51" s="310"/>
      <c r="O51" s="328"/>
    </row>
    <row r="52" spans="1:15">
      <c r="A52" s="312" t="s">
        <v>157</v>
      </c>
      <c r="B52" s="313">
        <f>+IF(ISERROR(B8/IS!F7*365),0,B8/IS!F7*365)</f>
        <v>0</v>
      </c>
      <c r="C52" s="313"/>
      <c r="D52" s="313"/>
      <c r="E52" s="313">
        <f>+IF(ISERROR(E8/IS!F7*365),0,E8/IS!F7*365)</f>
        <v>0</v>
      </c>
      <c r="F52" s="314">
        <f>+'A2'!D7</f>
        <v>64</v>
      </c>
      <c r="G52" s="313">
        <f>+'A2'!E7</f>
        <v>64</v>
      </c>
      <c r="H52" s="313">
        <f>+'A2'!F7</f>
        <v>64</v>
      </c>
      <c r="I52" s="313">
        <f>+'A2'!G7</f>
        <v>64</v>
      </c>
      <c r="J52" s="313">
        <f>+'A2'!H7</f>
        <v>64</v>
      </c>
      <c r="K52" s="313">
        <f>+'A2'!I7</f>
        <v>64</v>
      </c>
      <c r="L52" s="313">
        <f>+'A2'!J7</f>
        <v>64</v>
      </c>
      <c r="M52" s="313">
        <f>+'A2'!K7</f>
        <v>64</v>
      </c>
      <c r="N52" s="313">
        <f>+'A2'!L7</f>
        <v>64</v>
      </c>
      <c r="O52" s="329">
        <f>+'A2'!M7</f>
        <v>64</v>
      </c>
    </row>
    <row r="53" spans="1:15">
      <c r="A53" s="312" t="s">
        <v>158</v>
      </c>
      <c r="B53" s="313">
        <f>+IF(ISERROR(B9/IS!F10*365),0,B9/IS!F10*365)</f>
        <v>0</v>
      </c>
      <c r="C53" s="313"/>
      <c r="D53" s="313"/>
      <c r="E53" s="313">
        <f>+IF(ISERROR(E9/IS!F10*365),0,E9/IS!F10*365)</f>
        <v>0</v>
      </c>
      <c r="F53" s="314">
        <f>+'A2'!D14</f>
        <v>150</v>
      </c>
      <c r="G53" s="313">
        <f>+'A2'!E14</f>
        <v>150</v>
      </c>
      <c r="H53" s="313">
        <f>+'A2'!F14</f>
        <v>150</v>
      </c>
      <c r="I53" s="313">
        <f>+'A2'!G14</f>
        <v>150</v>
      </c>
      <c r="J53" s="313">
        <f>+'A2'!H14</f>
        <v>150</v>
      </c>
      <c r="K53" s="313">
        <f>+'A2'!I14</f>
        <v>150</v>
      </c>
      <c r="L53" s="313">
        <f>+'A2'!J14</f>
        <v>150</v>
      </c>
      <c r="M53" s="313">
        <f>+'A2'!K14</f>
        <v>150</v>
      </c>
      <c r="N53" s="313">
        <f>+'A2'!L14</f>
        <v>150</v>
      </c>
      <c r="O53" s="329">
        <f>+'A2'!M14</f>
        <v>150</v>
      </c>
    </row>
    <row r="54" spans="1:15">
      <c r="A54" s="312" t="s">
        <v>159</v>
      </c>
      <c r="B54" s="315">
        <f>+IF(ISERROR(B10/IS!F7),0,B10/IS!F7)</f>
        <v>0</v>
      </c>
      <c r="C54" s="315"/>
      <c r="D54" s="315"/>
      <c r="E54" s="315">
        <f>+IF(ISERROR(E10/IS!F7),0,E10/IS!F7)</f>
        <v>0</v>
      </c>
      <c r="F54" s="316">
        <f>+'A2'!D21</f>
        <v>0.5046</v>
      </c>
      <c r="G54" s="315">
        <f>+'A2'!E21</f>
        <v>0.5046</v>
      </c>
      <c r="H54" s="315">
        <f>+'A2'!F21</f>
        <v>0.5046</v>
      </c>
      <c r="I54" s="315">
        <f>+'A2'!G21</f>
        <v>0.5046</v>
      </c>
      <c r="J54" s="315">
        <f>+'A2'!H21</f>
        <v>0.5046</v>
      </c>
      <c r="K54" s="315">
        <f>+'A2'!I21</f>
        <v>0.5046</v>
      </c>
      <c r="L54" s="315">
        <f>+'A2'!J21</f>
        <v>0.5046</v>
      </c>
      <c r="M54" s="315">
        <f>+'A2'!K21</f>
        <v>0.5046</v>
      </c>
      <c r="N54" s="315">
        <f>+'A2'!L21</f>
        <v>0.5046</v>
      </c>
      <c r="O54" s="330">
        <f>+'A2'!M21</f>
        <v>0.5046</v>
      </c>
    </row>
    <row r="55" spans="1:15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c r="K55" s="320"/>
      <c r="L55" s="320"/>
      <c r="M55" s="320"/>
      <c r="N55" s="320"/>
      <c r="O55" s="331"/>
    </row>
    <row r="56" spans="1:15">
      <c r="A56" s="322" t="s">
        <v>160</v>
      </c>
      <c r="B56" s="323"/>
      <c r="C56" s="319"/>
      <c r="D56" s="319"/>
      <c r="E56" s="319"/>
      <c r="F56" s="324"/>
      <c r="G56" s="319"/>
      <c r="H56" s="319"/>
      <c r="I56" s="319"/>
      <c r="J56" s="319"/>
      <c r="K56" s="319"/>
      <c r="L56" s="319"/>
      <c r="M56" s="319"/>
      <c r="N56" s="319"/>
      <c r="O56" s="332"/>
    </row>
    <row r="57" spans="1:15">
      <c r="A57" s="312" t="s">
        <v>161</v>
      </c>
      <c r="B57" s="313">
        <f>+IF(ISERROR(B20/IS!F10*365),0,B20/IS!F10*365)</f>
        <v>0</v>
      </c>
      <c r="C57" s="313"/>
      <c r="D57" s="313"/>
      <c r="E57" s="313">
        <f>+IF(ISERROR(E20/IS!F10*365),0,E20/IS!F10*365)</f>
        <v>0</v>
      </c>
      <c r="F57" s="314">
        <f>+'A2'!D29</f>
        <v>61</v>
      </c>
      <c r="G57" s="313">
        <f>+'A2'!E29</f>
        <v>61</v>
      </c>
      <c r="H57" s="313">
        <f>+'A2'!F29</f>
        <v>61</v>
      </c>
      <c r="I57" s="313">
        <f>+'A2'!G29</f>
        <v>61</v>
      </c>
      <c r="J57" s="313">
        <f>+'A2'!H29</f>
        <v>61</v>
      </c>
      <c r="K57" s="313">
        <f>+'A2'!I29</f>
        <v>61</v>
      </c>
      <c r="L57" s="313">
        <f>+'A2'!J29</f>
        <v>61</v>
      </c>
      <c r="M57" s="313">
        <f>+'A2'!K29</f>
        <v>61</v>
      </c>
      <c r="N57" s="313">
        <f>+'A2'!L29</f>
        <v>61</v>
      </c>
      <c r="O57" s="329">
        <f>+'A2'!M29</f>
        <v>61</v>
      </c>
    </row>
    <row r="58" spans="1:15">
      <c r="A58" s="312" t="s">
        <v>162</v>
      </c>
      <c r="B58" s="315">
        <f>+IF(ISERROR(B21/IS!F7),0,B21/IS!F7)</f>
        <v>0</v>
      </c>
      <c r="C58" s="315"/>
      <c r="D58" s="315"/>
      <c r="E58" s="315">
        <f>+IF(ISERROR(E21/IS!F7),0,E21/IS!F7)</f>
        <v>0</v>
      </c>
      <c r="F58" s="316">
        <f>+'A2'!D36</f>
        <v>0</v>
      </c>
      <c r="G58" s="315">
        <f>+'A2'!E36</f>
        <v>0</v>
      </c>
      <c r="H58" s="315">
        <f>+'A2'!F36</f>
        <v>0</v>
      </c>
      <c r="I58" s="315">
        <f>+'A2'!G36</f>
        <v>0</v>
      </c>
      <c r="J58" s="315">
        <f>+'A2'!H36</f>
        <v>0</v>
      </c>
      <c r="K58" s="315">
        <f>+'A2'!I36</f>
        <v>0</v>
      </c>
      <c r="L58" s="315">
        <f>+'A2'!J36</f>
        <v>0</v>
      </c>
      <c r="M58" s="315">
        <f>+'A2'!K36</f>
        <v>0</v>
      </c>
      <c r="N58" s="315">
        <f>+'A2'!L36</f>
        <v>0</v>
      </c>
      <c r="O58" s="330">
        <f>+'A2'!M36</f>
        <v>0</v>
      </c>
    </row>
    <row r="59" spans="1:15">
      <c r="A59" s="325" t="s">
        <v>163</v>
      </c>
      <c r="B59" s="326">
        <f>+IF(ISERROR(B22/IS!F7),0,B22/IS!F7)</f>
        <v>0</v>
      </c>
      <c r="C59" s="326"/>
      <c r="D59" s="326"/>
      <c r="E59" s="326">
        <f>+IF(ISERROR(E22/IS!F7),0,E22/IS!F7)</f>
        <v>0</v>
      </c>
      <c r="F59" s="327">
        <f>+'A2'!D43</f>
        <v>0.2256</v>
      </c>
      <c r="G59" s="326">
        <f>+'A2'!E43</f>
        <v>0.2256</v>
      </c>
      <c r="H59" s="326">
        <f>+'A2'!F43</f>
        <v>0.2256</v>
      </c>
      <c r="I59" s="326">
        <f>+'A2'!G43</f>
        <v>0.2256</v>
      </c>
      <c r="J59" s="326">
        <f>+'A2'!H43</f>
        <v>0.2256</v>
      </c>
      <c r="K59" s="326">
        <f>+'A2'!I43</f>
        <v>0.2256</v>
      </c>
      <c r="L59" s="326">
        <f>+'A2'!J43</f>
        <v>0.2256</v>
      </c>
      <c r="M59" s="326">
        <f>+'A2'!K43</f>
        <v>0.2256</v>
      </c>
      <c r="N59" s="326">
        <f>+'A2'!L43</f>
        <v>0.2256</v>
      </c>
      <c r="O59" s="333">
        <f>+'A2'!M43</f>
        <v>0.2256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46"/>
  <sheetViews>
    <sheetView workbookViewId="0">
      <selection activeCell="B46" sqref="B46"/>
    </sheetView>
  </sheetViews>
  <sheetFormatPr defaultColWidth="8.81481481481481" defaultRowHeight="14.4"/>
  <cols>
    <col min="1" max="1" width="56.7222222222222" customWidth="1"/>
    <col min="2" max="11" width="12.4537037037037" customWidth="1"/>
  </cols>
  <sheetData>
    <row r="1" ht="24.6" spans="1:11">
      <c r="A1" s="174" t="str">
        <f>+TS!A1</f>
        <v>Target_Co</v>
      </c>
      <c r="B1" s="175"/>
      <c r="C1" s="175"/>
      <c r="D1" s="175"/>
      <c r="E1" s="175"/>
      <c r="F1" s="175"/>
      <c r="G1" s="175"/>
      <c r="H1" s="175"/>
      <c r="I1" s="175"/>
      <c r="J1" s="211"/>
      <c r="K1" s="211"/>
    </row>
    <row r="2" ht="15.6" spans="1:11">
      <c r="A2" s="15" t="s">
        <v>164</v>
      </c>
      <c r="B2" s="15"/>
      <c r="C2" s="15"/>
      <c r="D2" s="15"/>
      <c r="E2" s="15"/>
      <c r="F2" s="15"/>
      <c r="G2" s="15"/>
      <c r="H2" s="15"/>
      <c r="I2" s="15"/>
      <c r="J2" s="15"/>
      <c r="K2" s="258"/>
    </row>
    <row r="3" spans="1:11">
      <c r="A3" s="177" t="str">
        <f>+TS!A3</f>
        <v>($ in millions, fiscal year ending April 30)</v>
      </c>
      <c r="B3" s="175"/>
      <c r="C3" s="175"/>
      <c r="D3" s="175"/>
      <c r="E3" s="175"/>
      <c r="F3" s="175"/>
      <c r="G3" s="178"/>
      <c r="H3" s="175"/>
      <c r="I3" s="212"/>
      <c r="J3" s="211"/>
      <c r="K3" s="211"/>
    </row>
    <row r="4" spans="1:11">
      <c r="A4" s="185"/>
      <c r="B4" s="216" t="s">
        <v>55</v>
      </c>
      <c r="C4" s="217"/>
      <c r="D4" s="217"/>
      <c r="E4" s="217"/>
      <c r="F4" s="217"/>
      <c r="G4" s="217"/>
      <c r="H4" s="217"/>
      <c r="I4" s="217"/>
      <c r="J4" s="217"/>
      <c r="K4" s="216"/>
    </row>
    <row r="5" spans="1:11">
      <c r="A5" s="185"/>
      <c r="B5" s="106">
        <v>1</v>
      </c>
      <c r="C5" s="106">
        <v>2</v>
      </c>
      <c r="D5" s="106">
        <v>3</v>
      </c>
      <c r="E5" s="106">
        <v>4</v>
      </c>
      <c r="F5" s="106">
        <v>5</v>
      </c>
      <c r="G5" s="106">
        <v>6</v>
      </c>
      <c r="H5" s="106">
        <v>7</v>
      </c>
      <c r="I5" s="106">
        <v>8</v>
      </c>
      <c r="J5" s="106">
        <v>9</v>
      </c>
      <c r="K5" s="106">
        <v>10</v>
      </c>
    </row>
    <row r="6" spans="1:11">
      <c r="A6" s="185"/>
      <c r="B6" s="107">
        <f>+TS!G24</f>
        <v>2025</v>
      </c>
      <c r="C6" s="107">
        <f>+TS!H24</f>
        <v>2026</v>
      </c>
      <c r="D6" s="107">
        <f>+TS!I24</f>
        <v>2027</v>
      </c>
      <c r="E6" s="107">
        <f>+TS!J24</f>
        <v>2028</v>
      </c>
      <c r="F6" s="107">
        <f>+TS!K24</f>
        <v>2029</v>
      </c>
      <c r="G6" s="107">
        <f>+TS!L24</f>
        <v>2030</v>
      </c>
      <c r="H6" s="107">
        <f>+TS!M24</f>
        <v>2031</v>
      </c>
      <c r="I6" s="107">
        <f>+TS!N24</f>
        <v>2032</v>
      </c>
      <c r="J6" s="107">
        <f>+TS!O24</f>
        <v>2033</v>
      </c>
      <c r="K6" s="107">
        <f>+TS!P24</f>
        <v>2034</v>
      </c>
    </row>
    <row r="7" spans="1:11">
      <c r="A7" s="279" t="s">
        <v>165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>
      <c r="A8" s="281" t="s">
        <v>115</v>
      </c>
      <c r="B8" s="188" t="e">
        <f ca="1">+IS!G45</f>
        <v>#VALUE!</v>
      </c>
      <c r="C8" s="188" t="e">
        <f ca="1">+IS!H45</f>
        <v>#VALUE!</v>
      </c>
      <c r="D8" s="188" t="e">
        <f ca="1">+IS!I45</f>
        <v>#VALUE!</v>
      </c>
      <c r="E8" s="188" t="e">
        <f ca="1">+IS!J45</f>
        <v>#VALUE!</v>
      </c>
      <c r="F8" s="188" t="e">
        <f ca="1">+IS!K45</f>
        <v>#VALUE!</v>
      </c>
      <c r="G8" s="188" t="e">
        <f ca="1">+IS!L45</f>
        <v>#VALUE!</v>
      </c>
      <c r="H8" s="188" t="e">
        <f ca="1">+IS!M45</f>
        <v>#VALUE!</v>
      </c>
      <c r="I8" s="188" t="e">
        <f ca="1">+IS!N45</f>
        <v>#VALUE!</v>
      </c>
      <c r="J8" s="188" t="e">
        <f ca="1">+IS!O45</f>
        <v>#VALUE!</v>
      </c>
      <c r="K8" s="188" t="e">
        <f ca="1">+IS!P45</f>
        <v>#VALUE!</v>
      </c>
    </row>
    <row r="9" spans="1:11">
      <c r="A9" s="281" t="s">
        <v>166</v>
      </c>
      <c r="B9" s="208">
        <f>+IS!G21</f>
        <v>0</v>
      </c>
      <c r="C9" s="208">
        <f>+IS!H21</f>
        <v>0</v>
      </c>
      <c r="D9" s="208">
        <f>+IS!I21</f>
        <v>0</v>
      </c>
      <c r="E9" s="208">
        <f>+IS!J21</f>
        <v>0</v>
      </c>
      <c r="F9" s="208">
        <f>+IS!K21</f>
        <v>0</v>
      </c>
      <c r="G9" s="208">
        <f>+IS!L21</f>
        <v>0</v>
      </c>
      <c r="H9" s="208">
        <f>+IS!M21</f>
        <v>0</v>
      </c>
      <c r="I9" s="208">
        <f>+IS!N21</f>
        <v>0</v>
      </c>
      <c r="J9" s="208">
        <f>+IS!O21</f>
        <v>0</v>
      </c>
      <c r="K9" s="208">
        <f>+IS!P21</f>
        <v>0</v>
      </c>
    </row>
    <row r="10" spans="1:11">
      <c r="A10" s="281" t="s">
        <v>167</v>
      </c>
      <c r="B10" s="208">
        <f>+IS!G22</f>
        <v>0</v>
      </c>
      <c r="C10" s="208">
        <f>+IS!H22</f>
        <v>0</v>
      </c>
      <c r="D10" s="208">
        <f>+IS!I22</f>
        <v>0</v>
      </c>
      <c r="E10" s="208">
        <f>+IS!J22</f>
        <v>0</v>
      </c>
      <c r="F10" s="208">
        <f>+IS!K22</f>
        <v>0</v>
      </c>
      <c r="G10" s="208">
        <f>+IS!L22</f>
        <v>0</v>
      </c>
      <c r="H10" s="208">
        <f>+IS!M22</f>
        <v>0</v>
      </c>
      <c r="I10" s="208">
        <f>+IS!N22</f>
        <v>0</v>
      </c>
      <c r="J10" s="208">
        <f>+IS!O22</f>
        <v>0</v>
      </c>
      <c r="K10" s="208">
        <f>+IS!P22</f>
        <v>0</v>
      </c>
    </row>
    <row r="11" spans="1:11">
      <c r="A11" s="281" t="s">
        <v>168</v>
      </c>
      <c r="B11" s="208">
        <f>+IS!G38</f>
        <v>0</v>
      </c>
      <c r="C11" s="208">
        <f>+IS!H38</f>
        <v>0</v>
      </c>
      <c r="D11" s="208">
        <f>+IS!I38</f>
        <v>0</v>
      </c>
      <c r="E11" s="208">
        <f>+IS!J38</f>
        <v>0</v>
      </c>
      <c r="F11" s="208">
        <f>+IS!K38</f>
        <v>0</v>
      </c>
      <c r="G11" s="208">
        <f>+IS!L38</f>
        <v>0</v>
      </c>
      <c r="H11" s="208">
        <f>+IS!M38</f>
        <v>0</v>
      </c>
      <c r="I11" s="208">
        <f>+IS!N38</f>
        <v>0</v>
      </c>
      <c r="J11" s="208">
        <f>+IS!O38</f>
        <v>0</v>
      </c>
      <c r="K11" s="208">
        <f>+IS!P38</f>
        <v>0</v>
      </c>
    </row>
    <row r="12" spans="1:11">
      <c r="A12" s="281"/>
      <c r="B12" s="280"/>
      <c r="C12" s="280"/>
      <c r="D12" s="280"/>
      <c r="E12" s="280"/>
      <c r="F12" s="280"/>
      <c r="G12" s="280"/>
      <c r="H12" s="280"/>
      <c r="I12" s="280"/>
      <c r="J12" s="280"/>
      <c r="K12" s="280"/>
    </row>
    <row r="13" spans="1:11">
      <c r="A13" s="282" t="s">
        <v>169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>
      <c r="A14" s="281" t="s">
        <v>170</v>
      </c>
      <c r="B14" s="208">
        <f>+BS!E8-BS!F8</f>
        <v>0</v>
      </c>
      <c r="C14" s="208">
        <f>+BS!F8-BS!G8</f>
        <v>0</v>
      </c>
      <c r="D14" s="208">
        <f>+BS!G8-BS!H8</f>
        <v>0</v>
      </c>
      <c r="E14" s="208">
        <f>+BS!H8-BS!I8</f>
        <v>0</v>
      </c>
      <c r="F14" s="208">
        <f>+BS!I8-BS!J8</f>
        <v>0</v>
      </c>
      <c r="G14" s="208">
        <f>+BS!J8-BS!K8</f>
        <v>0</v>
      </c>
      <c r="H14" s="208">
        <f>+BS!K8-BS!L8</f>
        <v>0</v>
      </c>
      <c r="I14" s="208">
        <f>+BS!L8-BS!M8</f>
        <v>0</v>
      </c>
      <c r="J14" s="208">
        <f>+BS!M8-BS!N8</f>
        <v>0</v>
      </c>
      <c r="K14" s="208">
        <f>+BS!N8-BS!O8</f>
        <v>0</v>
      </c>
    </row>
    <row r="15" spans="1:11">
      <c r="A15" s="281" t="s">
        <v>171</v>
      </c>
      <c r="B15" s="208">
        <f>BS!E9-BS!F9</f>
        <v>0</v>
      </c>
      <c r="C15" s="208">
        <f>BS!F9-BS!G9</f>
        <v>0</v>
      </c>
      <c r="D15" s="208">
        <f>BS!G9-BS!H9</f>
        <v>0</v>
      </c>
      <c r="E15" s="208">
        <f>BS!H9-BS!I9</f>
        <v>0</v>
      </c>
      <c r="F15" s="208">
        <f>BS!I9-BS!J9</f>
        <v>0</v>
      </c>
      <c r="G15" s="208">
        <f>BS!J9-BS!K9</f>
        <v>0</v>
      </c>
      <c r="H15" s="208">
        <f>BS!K9-BS!L9</f>
        <v>0</v>
      </c>
      <c r="I15" s="208">
        <f>BS!L9-BS!M9</f>
        <v>0</v>
      </c>
      <c r="J15" s="208">
        <f>BS!M9-BS!N9</f>
        <v>0</v>
      </c>
      <c r="K15" s="208">
        <f>BS!N9-BS!O9</f>
        <v>0</v>
      </c>
    </row>
    <row r="16" spans="1:11">
      <c r="A16" s="281" t="s">
        <v>172</v>
      </c>
      <c r="B16" s="208">
        <f>+BS!E10-BS!F10</f>
        <v>0</v>
      </c>
      <c r="C16" s="208">
        <f>+BS!F10-BS!G10</f>
        <v>0</v>
      </c>
      <c r="D16" s="208">
        <f>+BS!G10-BS!H10</f>
        <v>0</v>
      </c>
      <c r="E16" s="208">
        <f>+BS!H10-BS!I10</f>
        <v>0</v>
      </c>
      <c r="F16" s="208">
        <f>+BS!I10-BS!J10</f>
        <v>0</v>
      </c>
      <c r="G16" s="208">
        <f>+BS!J10-BS!K10</f>
        <v>0</v>
      </c>
      <c r="H16" s="208">
        <f>+BS!K10-BS!L10</f>
        <v>0</v>
      </c>
      <c r="I16" s="208">
        <f>+BS!L10-BS!M10</f>
        <v>0</v>
      </c>
      <c r="J16" s="208">
        <f>+BS!M10-BS!N10</f>
        <v>0</v>
      </c>
      <c r="K16" s="208">
        <f>+BS!N10-BS!O10</f>
        <v>0</v>
      </c>
    </row>
    <row r="17" spans="1:11">
      <c r="A17" s="281"/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spans="1:11">
      <c r="A18" s="281" t="s">
        <v>173</v>
      </c>
      <c r="B18" s="208">
        <f>+BS!F20-BS!E20</f>
        <v>0</v>
      </c>
      <c r="C18" s="208">
        <f>+BS!G20-BS!F20</f>
        <v>0</v>
      </c>
      <c r="D18" s="208">
        <f>+BS!H20-BS!G20</f>
        <v>0</v>
      </c>
      <c r="E18" s="208">
        <f>+BS!I20-BS!H20</f>
        <v>0</v>
      </c>
      <c r="F18" s="208">
        <f>+BS!J20-BS!I20</f>
        <v>0</v>
      </c>
      <c r="G18" s="208">
        <f>+BS!K20-BS!J20</f>
        <v>0</v>
      </c>
      <c r="H18" s="208">
        <f>+BS!L20-BS!K20</f>
        <v>0</v>
      </c>
      <c r="I18" s="208">
        <f>+BS!M20-BS!L20</f>
        <v>0</v>
      </c>
      <c r="J18" s="208">
        <f>+BS!N20-BS!M20</f>
        <v>0</v>
      </c>
      <c r="K18" s="208">
        <f>+BS!O20-BS!N20</f>
        <v>0</v>
      </c>
    </row>
    <row r="19" spans="1:11">
      <c r="A19" s="281" t="s">
        <v>174</v>
      </c>
      <c r="B19" s="208">
        <f>+BS!F21-BS!E21</f>
        <v>0</v>
      </c>
      <c r="C19" s="208">
        <f>+BS!G21-BS!F21</f>
        <v>0</v>
      </c>
      <c r="D19" s="208">
        <f>+BS!H21-BS!G21</f>
        <v>0</v>
      </c>
      <c r="E19" s="208">
        <f>+BS!I21-BS!H21</f>
        <v>0</v>
      </c>
      <c r="F19" s="208">
        <f>+BS!J21-BS!I21</f>
        <v>0</v>
      </c>
      <c r="G19" s="208">
        <f>+BS!K21-BS!J21</f>
        <v>0</v>
      </c>
      <c r="H19" s="208">
        <f>+BS!L21-BS!K21</f>
        <v>0</v>
      </c>
      <c r="I19" s="208">
        <f>+BS!M21-BS!L21</f>
        <v>0</v>
      </c>
      <c r="J19" s="208">
        <f>+BS!N21-BS!M21</f>
        <v>0</v>
      </c>
      <c r="K19" s="208">
        <f>+BS!O21-BS!N21</f>
        <v>0</v>
      </c>
    </row>
    <row r="20" spans="1:11">
      <c r="A20" s="281" t="s">
        <v>175</v>
      </c>
      <c r="B20" s="191">
        <f>+BS!F22-BS!E22</f>
        <v>0</v>
      </c>
      <c r="C20" s="191">
        <f>+BS!G22-BS!F22</f>
        <v>0</v>
      </c>
      <c r="D20" s="191">
        <f>+BS!H22-BS!G22</f>
        <v>0</v>
      </c>
      <c r="E20" s="191">
        <f>+BS!I22-BS!H22</f>
        <v>0</v>
      </c>
      <c r="F20" s="191">
        <f>+BS!J22-BS!I22</f>
        <v>0</v>
      </c>
      <c r="G20" s="191">
        <f>+BS!K22-BS!J22</f>
        <v>0</v>
      </c>
      <c r="H20" s="191">
        <f>+BS!L22-BS!K22</f>
        <v>0</v>
      </c>
      <c r="I20" s="191">
        <f>+BS!M22-BS!L22</f>
        <v>0</v>
      </c>
      <c r="J20" s="191">
        <f>+BS!N22-BS!M22</f>
        <v>0</v>
      </c>
      <c r="K20" s="191">
        <f>+BS!O22-BS!N22</f>
        <v>0</v>
      </c>
    </row>
    <row r="21" spans="1:11">
      <c r="A21" s="221" t="s">
        <v>176</v>
      </c>
      <c r="B21" s="283">
        <f>+SUM(B14:B20)</f>
        <v>0</v>
      </c>
      <c r="C21" s="283">
        <f t="shared" ref="C21:K21" si="0">+SUM(C14:C20)</f>
        <v>0</v>
      </c>
      <c r="D21" s="283">
        <f t="shared" si="0"/>
        <v>0</v>
      </c>
      <c r="E21" s="283">
        <f t="shared" si="0"/>
        <v>0</v>
      </c>
      <c r="F21" s="283">
        <f t="shared" si="0"/>
        <v>0</v>
      </c>
      <c r="G21" s="283">
        <f t="shared" si="0"/>
        <v>0</v>
      </c>
      <c r="H21" s="283">
        <f t="shared" si="0"/>
        <v>0</v>
      </c>
      <c r="I21" s="283">
        <f t="shared" si="0"/>
        <v>0</v>
      </c>
      <c r="J21" s="283">
        <f t="shared" si="0"/>
        <v>0</v>
      </c>
      <c r="K21" s="283">
        <f t="shared" si="0"/>
        <v>0</v>
      </c>
    </row>
    <row r="22" spans="1:11">
      <c r="A22" s="160" t="s">
        <v>177</v>
      </c>
      <c r="B22" s="284" t="e">
        <f ca="1">+SUM(B8:B11)+B21</f>
        <v>#VALUE!</v>
      </c>
      <c r="C22" s="284" t="e">
        <f ca="1" t="shared" ref="C22:K22" si="1">+SUM(C8:C11)+C21</f>
        <v>#VALUE!</v>
      </c>
      <c r="D22" s="284" t="e">
        <f ca="1" t="shared" si="1"/>
        <v>#VALUE!</v>
      </c>
      <c r="E22" s="284" t="e">
        <f ca="1" t="shared" si="1"/>
        <v>#VALUE!</v>
      </c>
      <c r="F22" s="284" t="e">
        <f ca="1" t="shared" si="1"/>
        <v>#VALUE!</v>
      </c>
      <c r="G22" s="284" t="e">
        <f ca="1" t="shared" si="1"/>
        <v>#VALUE!</v>
      </c>
      <c r="H22" s="284" t="e">
        <f ca="1" t="shared" si="1"/>
        <v>#VALUE!</v>
      </c>
      <c r="I22" s="284" t="e">
        <f ca="1" t="shared" si="1"/>
        <v>#VALUE!</v>
      </c>
      <c r="J22" s="284" t="e">
        <f ca="1" t="shared" si="1"/>
        <v>#VALUE!</v>
      </c>
      <c r="K22" s="284" t="e">
        <f ca="1" t="shared" si="1"/>
        <v>#VALUE!</v>
      </c>
    </row>
    <row r="23" spans="1:11">
      <c r="A23" s="285"/>
      <c r="B23" s="280"/>
      <c r="C23" s="280"/>
      <c r="D23" s="280"/>
      <c r="E23" s="280"/>
      <c r="F23" s="280"/>
      <c r="G23" s="280"/>
      <c r="H23" s="280"/>
      <c r="I23" s="280"/>
      <c r="J23" s="280"/>
      <c r="K23" s="280"/>
    </row>
    <row r="24" spans="1:11">
      <c r="A24" s="279" t="s">
        <v>178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</row>
    <row r="25" spans="1:11">
      <c r="A25" s="281" t="s">
        <v>179</v>
      </c>
      <c r="B25" s="208">
        <f>-'A1'!D57*IS!G7</f>
        <v>0</v>
      </c>
      <c r="C25" s="208">
        <f>-'A1'!E57*IS!H7</f>
        <v>0</v>
      </c>
      <c r="D25" s="208">
        <f>-'A1'!F57*IS!I7</f>
        <v>0</v>
      </c>
      <c r="E25" s="208">
        <f>-'A1'!G57*IS!J7</f>
        <v>0</v>
      </c>
      <c r="F25" s="208">
        <f>-'A1'!H57*IS!K7</f>
        <v>0</v>
      </c>
      <c r="G25" s="208">
        <f>-'A1'!I57*IS!L7</f>
        <v>0</v>
      </c>
      <c r="H25" s="208">
        <f>-'A1'!J57*IS!M7</f>
        <v>0</v>
      </c>
      <c r="I25" s="208">
        <f>-'A1'!K57*IS!N7</f>
        <v>0</v>
      </c>
      <c r="J25" s="208">
        <f>-'A1'!L57*IS!O7</f>
        <v>0</v>
      </c>
      <c r="K25" s="208">
        <f>-'A1'!M57*IS!P7</f>
        <v>0</v>
      </c>
    </row>
    <row r="26" spans="1:11">
      <c r="A26" s="281" t="s">
        <v>180</v>
      </c>
      <c r="B26" s="270">
        <v>0</v>
      </c>
      <c r="C26" s="270">
        <v>0</v>
      </c>
      <c r="D26" s="270">
        <v>0</v>
      </c>
      <c r="E26" s="270">
        <v>0</v>
      </c>
      <c r="F26" s="270">
        <v>0</v>
      </c>
      <c r="G26" s="270">
        <v>0</v>
      </c>
      <c r="H26" s="270">
        <v>0</v>
      </c>
      <c r="I26" s="270">
        <v>0</v>
      </c>
      <c r="J26" s="270">
        <v>0</v>
      </c>
      <c r="K26" s="270">
        <v>0</v>
      </c>
    </row>
    <row r="27" spans="1:11">
      <c r="A27" s="160" t="s">
        <v>181</v>
      </c>
      <c r="B27" s="284">
        <f t="shared" ref="B27:K27" si="2">SUM(B25:B26)</f>
        <v>0</v>
      </c>
      <c r="C27" s="284">
        <f t="shared" si="2"/>
        <v>0</v>
      </c>
      <c r="D27" s="284">
        <f t="shared" si="2"/>
        <v>0</v>
      </c>
      <c r="E27" s="284">
        <f t="shared" si="2"/>
        <v>0</v>
      </c>
      <c r="F27" s="284">
        <f t="shared" si="2"/>
        <v>0</v>
      </c>
      <c r="G27" s="284">
        <f t="shared" si="2"/>
        <v>0</v>
      </c>
      <c r="H27" s="284">
        <f t="shared" si="2"/>
        <v>0</v>
      </c>
      <c r="I27" s="284">
        <f t="shared" si="2"/>
        <v>0</v>
      </c>
      <c r="J27" s="284">
        <f t="shared" si="2"/>
        <v>0</v>
      </c>
      <c r="K27" s="284">
        <f t="shared" si="2"/>
        <v>0</v>
      </c>
    </row>
    <row r="28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pans="1:11">
      <c r="A29" s="279" t="s">
        <v>182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</row>
    <row r="30" spans="1:11">
      <c r="A30" s="281" t="s">
        <v>183</v>
      </c>
      <c r="B30" s="208" t="e">
        <f ca="1">+DS!C25</f>
        <v>#VALUE!</v>
      </c>
      <c r="C30" s="208" t="e">
        <f ca="1">+DS!D25</f>
        <v>#VALUE!</v>
      </c>
      <c r="D30" s="208" t="e">
        <f ca="1">+DS!E25</f>
        <v>#VALUE!</v>
      </c>
      <c r="E30" s="208" t="e">
        <f ca="1">+DS!F25</f>
        <v>#VALUE!</v>
      </c>
      <c r="F30" s="208" t="e">
        <f ca="1">+DS!G25</f>
        <v>#VALUE!</v>
      </c>
      <c r="G30" s="208" t="e">
        <f ca="1">+DS!H25</f>
        <v>#VALUE!</v>
      </c>
      <c r="H30" s="208" t="e">
        <f ca="1">+DS!I25</f>
        <v>#VALUE!</v>
      </c>
      <c r="I30" s="208" t="e">
        <f ca="1">+DS!J25</f>
        <v>#VALUE!</v>
      </c>
      <c r="J30" s="208" t="e">
        <f ca="1">+DS!K25</f>
        <v>#VALUE!</v>
      </c>
      <c r="K30" s="208" t="e">
        <f ca="1">+DS!L25</f>
        <v>#VALUE!</v>
      </c>
    </row>
    <row r="31" spans="1:11">
      <c r="A31" s="286" t="s">
        <v>184</v>
      </c>
      <c r="B31" s="208">
        <f ca="1">+DS!C40+DS!C41</f>
        <v>0</v>
      </c>
      <c r="C31" s="208">
        <f ca="1">+DS!D40+DS!D41</f>
        <v>0</v>
      </c>
      <c r="D31" s="208">
        <f ca="1">+DS!E40+DS!E41</f>
        <v>0</v>
      </c>
      <c r="E31" s="208">
        <f ca="1">+DS!F40+DS!F41</f>
        <v>0</v>
      </c>
      <c r="F31" s="208">
        <f ca="1">+DS!G40+DS!G41</f>
        <v>0</v>
      </c>
      <c r="G31" s="208">
        <f ca="1">+DS!H40+DS!H41</f>
        <v>0</v>
      </c>
      <c r="H31" s="208">
        <f ca="1">+DS!I40+DS!I41</f>
        <v>0</v>
      </c>
      <c r="I31" s="208">
        <f ca="1">+DS!J40+DS!J41</f>
        <v>0</v>
      </c>
      <c r="J31" s="208">
        <f ca="1">+DS!K40+DS!K41</f>
        <v>0</v>
      </c>
      <c r="K31" s="208">
        <f ca="1">+DS!L40+DS!L41</f>
        <v>0</v>
      </c>
    </row>
    <row r="32" spans="1:11">
      <c r="A32" s="286" t="s">
        <v>185</v>
      </c>
      <c r="B32" s="208">
        <f ca="1">+DS!C55+DS!C56</f>
        <v>0</v>
      </c>
      <c r="C32" s="208">
        <f ca="1">+DS!D55+DS!D56</f>
        <v>0</v>
      </c>
      <c r="D32" s="208">
        <f ca="1">+DS!E55+DS!E56</f>
        <v>0</v>
      </c>
      <c r="E32" s="208">
        <f ca="1">+DS!F55+DS!F56</f>
        <v>0</v>
      </c>
      <c r="F32" s="208">
        <f ca="1">+DS!G55+DS!G56</f>
        <v>0</v>
      </c>
      <c r="G32" s="208">
        <f ca="1">+DS!H55+DS!H56</f>
        <v>0</v>
      </c>
      <c r="H32" s="208">
        <f ca="1">+DS!I55+DS!I56</f>
        <v>0</v>
      </c>
      <c r="I32" s="208">
        <f ca="1">+DS!J55+DS!J56</f>
        <v>0</v>
      </c>
      <c r="J32" s="208">
        <f ca="1">+DS!K55+DS!K56</f>
        <v>0</v>
      </c>
      <c r="K32" s="208">
        <f ca="1">+DS!L55+DS!L56</f>
        <v>0</v>
      </c>
    </row>
    <row r="33" spans="1:11">
      <c r="A33" s="286" t="s">
        <v>186</v>
      </c>
      <c r="B33" s="208">
        <f ca="1">+DS!C70+DS!C71</f>
        <v>0</v>
      </c>
      <c r="C33" s="208">
        <f ca="1">+DS!D70+DS!D71</f>
        <v>0</v>
      </c>
      <c r="D33" s="208">
        <f ca="1">+DS!E70+DS!E71</f>
        <v>0</v>
      </c>
      <c r="E33" s="208">
        <f ca="1">+DS!F70+DS!F71</f>
        <v>0</v>
      </c>
      <c r="F33" s="208">
        <f ca="1">+DS!G70+DS!G71</f>
        <v>0</v>
      </c>
      <c r="G33" s="208">
        <f ca="1">+DS!H70+DS!H71</f>
        <v>0</v>
      </c>
      <c r="H33" s="208">
        <f ca="1">+DS!I70+DS!I71</f>
        <v>0</v>
      </c>
      <c r="I33" s="208">
        <f ca="1">+DS!J70+DS!J71</f>
        <v>0</v>
      </c>
      <c r="J33" s="208">
        <f ca="1">+DS!K70+DS!K71</f>
        <v>0</v>
      </c>
      <c r="K33" s="208">
        <f ca="1">+DS!L70+DS!L71</f>
        <v>0</v>
      </c>
    </row>
    <row r="34" spans="1:11">
      <c r="A34" s="286" t="s">
        <v>187</v>
      </c>
      <c r="B34" s="208">
        <f ca="1">+DS!C85+DS!C86</f>
        <v>0</v>
      </c>
      <c r="C34" s="208">
        <f ca="1">+DS!D85+DS!D86</f>
        <v>0</v>
      </c>
      <c r="D34" s="208">
        <f ca="1">+DS!E85+DS!E86</f>
        <v>0</v>
      </c>
      <c r="E34" s="208">
        <f ca="1">+DS!F85+DS!F86</f>
        <v>0</v>
      </c>
      <c r="F34" s="208">
        <f ca="1">+DS!G85+DS!G86</f>
        <v>0</v>
      </c>
      <c r="G34" s="208">
        <f ca="1">+DS!H85+DS!H86</f>
        <v>0</v>
      </c>
      <c r="H34" s="208">
        <f ca="1">+DS!I85+DS!I86</f>
        <v>0</v>
      </c>
      <c r="I34" s="208">
        <f ca="1">+DS!J85+DS!J86</f>
        <v>0</v>
      </c>
      <c r="J34" s="208">
        <f ca="1">+DS!K85+DS!K86</f>
        <v>0</v>
      </c>
      <c r="K34" s="208">
        <f ca="1">+DS!L85+DS!L86</f>
        <v>0</v>
      </c>
    </row>
    <row r="35" spans="1:11">
      <c r="A35" s="286" t="s">
        <v>188</v>
      </c>
      <c r="B35" s="208">
        <f>+DS!C99</f>
        <v>0</v>
      </c>
      <c r="C35" s="208">
        <f>+DS!D99</f>
        <v>0</v>
      </c>
      <c r="D35" s="208">
        <f>+DS!E99</f>
        <v>0</v>
      </c>
      <c r="E35" s="208">
        <f>+DS!F99</f>
        <v>0</v>
      </c>
      <c r="F35" s="208">
        <f>+DS!G99</f>
        <v>0</v>
      </c>
      <c r="G35" s="208">
        <f>+DS!H99</f>
        <v>0</v>
      </c>
      <c r="H35" s="208">
        <f>+DS!I99</f>
        <v>0</v>
      </c>
      <c r="I35" s="208">
        <f>+DS!J99</f>
        <v>0</v>
      </c>
      <c r="J35" s="208">
        <f>+DS!K99</f>
        <v>0</v>
      </c>
      <c r="K35" s="208">
        <f>+DS!L99</f>
        <v>0</v>
      </c>
    </row>
    <row r="36" spans="1:11">
      <c r="A36" s="286" t="s">
        <v>189</v>
      </c>
      <c r="B36" s="208">
        <f>+DS!C111</f>
        <v>0</v>
      </c>
      <c r="C36" s="208">
        <f>+DS!D111</f>
        <v>0</v>
      </c>
      <c r="D36" s="208">
        <f>+DS!E111</f>
        <v>0</v>
      </c>
      <c r="E36" s="208">
        <f>+DS!F111</f>
        <v>0</v>
      </c>
      <c r="F36" s="208">
        <f>+DS!G111</f>
        <v>0</v>
      </c>
      <c r="G36" s="208">
        <f>+DS!H111</f>
        <v>0</v>
      </c>
      <c r="H36" s="208">
        <f>+DS!I111</f>
        <v>0</v>
      </c>
      <c r="I36" s="208">
        <f>+DS!J111</f>
        <v>0</v>
      </c>
      <c r="J36" s="208">
        <f>+DS!K111</f>
        <v>0</v>
      </c>
      <c r="K36" s="208">
        <f>+DS!L111</f>
        <v>0</v>
      </c>
    </row>
    <row r="37" spans="1:11">
      <c r="A37" s="286" t="s">
        <v>190</v>
      </c>
      <c r="B37" s="208">
        <f>+DS!C122</f>
        <v>0</v>
      </c>
      <c r="C37" s="208">
        <f>+DS!D122</f>
        <v>0</v>
      </c>
      <c r="D37" s="208">
        <f>+DS!E122</f>
        <v>0</v>
      </c>
      <c r="E37" s="208">
        <f>+DS!F122</f>
        <v>0</v>
      </c>
      <c r="F37" s="208">
        <f>+DS!G122</f>
        <v>0</v>
      </c>
      <c r="G37" s="208">
        <f>+DS!H122</f>
        <v>0</v>
      </c>
      <c r="H37" s="208">
        <f>+DS!I122</f>
        <v>0</v>
      </c>
      <c r="I37" s="208">
        <f>+DS!J122</f>
        <v>0</v>
      </c>
      <c r="J37" s="208">
        <f>+DS!K122</f>
        <v>0</v>
      </c>
      <c r="K37" s="208">
        <f>+DS!L122</f>
        <v>0</v>
      </c>
    </row>
    <row r="38" spans="1:11">
      <c r="A38" s="286" t="s">
        <v>191</v>
      </c>
      <c r="B38" s="287">
        <v>0</v>
      </c>
      <c r="C38" s="287">
        <v>0</v>
      </c>
      <c r="D38" s="287">
        <v>0</v>
      </c>
      <c r="E38" s="287">
        <v>0</v>
      </c>
      <c r="F38" s="287">
        <v>0</v>
      </c>
      <c r="G38" s="287">
        <v>0</v>
      </c>
      <c r="H38" s="287">
        <v>0</v>
      </c>
      <c r="I38" s="287">
        <v>0</v>
      </c>
      <c r="J38" s="287">
        <v>0</v>
      </c>
      <c r="K38" s="287">
        <v>0</v>
      </c>
    </row>
    <row r="39" spans="1:11">
      <c r="A39" s="286" t="s">
        <v>192</v>
      </c>
      <c r="B39" s="287">
        <v>0</v>
      </c>
      <c r="C39" s="287">
        <v>0</v>
      </c>
      <c r="D39" s="287">
        <v>0</v>
      </c>
      <c r="E39" s="287">
        <v>0</v>
      </c>
      <c r="F39" s="287">
        <v>0</v>
      </c>
      <c r="G39" s="287">
        <v>0</v>
      </c>
      <c r="H39" s="287">
        <v>0</v>
      </c>
      <c r="I39" s="287">
        <v>0</v>
      </c>
      <c r="J39" s="287">
        <v>0</v>
      </c>
      <c r="K39" s="287">
        <v>0</v>
      </c>
    </row>
    <row r="40" spans="1:11">
      <c r="A40" s="286" t="s">
        <v>193</v>
      </c>
      <c r="B40" s="270">
        <v>0</v>
      </c>
      <c r="C40" s="270">
        <v>0</v>
      </c>
      <c r="D40" s="270">
        <v>0</v>
      </c>
      <c r="E40" s="270">
        <v>0</v>
      </c>
      <c r="F40" s="270">
        <v>0</v>
      </c>
      <c r="G40" s="270">
        <v>0</v>
      </c>
      <c r="H40" s="270">
        <v>0</v>
      </c>
      <c r="I40" s="270">
        <v>0</v>
      </c>
      <c r="J40" s="270">
        <v>0</v>
      </c>
      <c r="K40" s="270">
        <v>0</v>
      </c>
    </row>
    <row r="41" spans="1:11">
      <c r="A41" s="160" t="s">
        <v>194</v>
      </c>
      <c r="B41" s="284" t="e">
        <f ca="1">SUM(B30:B40)</f>
        <v>#VALUE!</v>
      </c>
      <c r="C41" s="284" t="e">
        <f ca="1" t="shared" ref="C41:K41" si="3">SUM(C30:C40)</f>
        <v>#VALUE!</v>
      </c>
      <c r="D41" s="284" t="e">
        <f ca="1" t="shared" si="3"/>
        <v>#VALUE!</v>
      </c>
      <c r="E41" s="284" t="e">
        <f ca="1" t="shared" si="3"/>
        <v>#VALUE!</v>
      </c>
      <c r="F41" s="284" t="e">
        <f ca="1" t="shared" si="3"/>
        <v>#VALUE!</v>
      </c>
      <c r="G41" s="284" t="e">
        <f ca="1" t="shared" si="3"/>
        <v>#VALUE!</v>
      </c>
      <c r="H41" s="284" t="e">
        <f ca="1" t="shared" si="3"/>
        <v>#VALUE!</v>
      </c>
      <c r="I41" s="284" t="e">
        <f ca="1" t="shared" si="3"/>
        <v>#VALUE!</v>
      </c>
      <c r="J41" s="284" t="e">
        <f ca="1" t="shared" si="3"/>
        <v>#VALUE!</v>
      </c>
      <c r="K41" s="284" t="e">
        <f ca="1" t="shared" si="3"/>
        <v>#VALUE!</v>
      </c>
    </row>
    <row r="42" spans="1:11">
      <c r="A42" s="219"/>
      <c r="B42" s="219"/>
      <c r="C42" s="219"/>
      <c r="D42" s="219"/>
      <c r="E42" s="219"/>
      <c r="F42" s="219"/>
      <c r="G42" s="219"/>
      <c r="H42" s="219"/>
      <c r="I42" s="219"/>
      <c r="J42" s="219"/>
      <c r="K42" s="219"/>
    </row>
    <row r="43" spans="1:11">
      <c r="A43" s="281" t="s">
        <v>195</v>
      </c>
      <c r="B43" s="188" t="e">
        <f ca="1" t="shared" ref="B43:K43" si="4">+B22+B27+B41</f>
        <v>#VALUE!</v>
      </c>
      <c r="C43" s="188" t="e">
        <f ca="1" t="shared" si="4"/>
        <v>#VALUE!</v>
      </c>
      <c r="D43" s="188" t="e">
        <f ca="1" t="shared" si="4"/>
        <v>#VALUE!</v>
      </c>
      <c r="E43" s="188" t="e">
        <f ca="1" t="shared" si="4"/>
        <v>#VALUE!</v>
      </c>
      <c r="F43" s="188" t="e">
        <f ca="1" t="shared" si="4"/>
        <v>#VALUE!</v>
      </c>
      <c r="G43" s="188" t="e">
        <f ca="1" t="shared" si="4"/>
        <v>#VALUE!</v>
      </c>
      <c r="H43" s="188" t="e">
        <f ca="1" t="shared" si="4"/>
        <v>#VALUE!</v>
      </c>
      <c r="I43" s="188" t="e">
        <f ca="1" t="shared" si="4"/>
        <v>#VALUE!</v>
      </c>
      <c r="J43" s="188" t="e">
        <f ca="1" t="shared" si="4"/>
        <v>#VALUE!</v>
      </c>
      <c r="K43" s="188" t="e">
        <f ca="1" t="shared" si="4"/>
        <v>#VALUE!</v>
      </c>
    </row>
    <row r="44" spans="1:11">
      <c r="A44" s="281" t="s">
        <v>196</v>
      </c>
      <c r="B44" s="191">
        <f>+BS!E7</f>
        <v>0</v>
      </c>
      <c r="C44" s="191" t="e">
        <f ca="1">+BS!F7</f>
        <v>#VALUE!</v>
      </c>
      <c r="D44" s="191" t="e">
        <f ca="1">+BS!G7</f>
        <v>#VALUE!</v>
      </c>
      <c r="E44" s="191" t="e">
        <f ca="1">+BS!H7</f>
        <v>#VALUE!</v>
      </c>
      <c r="F44" s="191" t="e">
        <f ca="1">+BS!I7</f>
        <v>#VALUE!</v>
      </c>
      <c r="G44" s="191" t="e">
        <f ca="1">+BS!J7</f>
        <v>#VALUE!</v>
      </c>
      <c r="H44" s="191" t="e">
        <f ca="1">+BS!K7</f>
        <v>#VALUE!</v>
      </c>
      <c r="I44" s="191" t="e">
        <f ca="1">+BS!L7</f>
        <v>#VALUE!</v>
      </c>
      <c r="J44" s="191" t="e">
        <f ca="1">+BS!M7</f>
        <v>#VALUE!</v>
      </c>
      <c r="K44" s="191" t="e">
        <f ca="1">+BS!N7</f>
        <v>#VALUE!</v>
      </c>
    </row>
    <row r="45" ht="15.15" spans="1:11">
      <c r="A45" s="160" t="s">
        <v>197</v>
      </c>
      <c r="B45" s="198" t="e">
        <f ca="1">SUM(B43:B44)</f>
        <v>#VALUE!</v>
      </c>
      <c r="C45" s="198" t="e">
        <f ca="1" t="shared" ref="C45:K45" si="5">SUM(C43:C44)</f>
        <v>#VALUE!</v>
      </c>
      <c r="D45" s="198" t="e">
        <f ca="1" t="shared" si="5"/>
        <v>#VALUE!</v>
      </c>
      <c r="E45" s="198" t="e">
        <f ca="1" t="shared" si="5"/>
        <v>#VALUE!</v>
      </c>
      <c r="F45" s="198" t="e">
        <f ca="1" t="shared" si="5"/>
        <v>#VALUE!</v>
      </c>
      <c r="G45" s="198" t="e">
        <f ca="1" t="shared" si="5"/>
        <v>#VALUE!</v>
      </c>
      <c r="H45" s="198" t="e">
        <f ca="1" t="shared" si="5"/>
        <v>#VALUE!</v>
      </c>
      <c r="I45" s="198" t="e">
        <f ca="1" t="shared" si="5"/>
        <v>#VALUE!</v>
      </c>
      <c r="J45" s="198" t="e">
        <f ca="1" t="shared" si="5"/>
        <v>#VALUE!</v>
      </c>
      <c r="K45" s="198" t="e">
        <f ca="1" t="shared" si="5"/>
        <v>#VALUE!</v>
      </c>
    </row>
    <row r="46" ht="15.15" spans="1:11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125"/>
  <sheetViews>
    <sheetView topLeftCell="A110" workbookViewId="0">
      <selection activeCell="A1" sqref="A1:L125"/>
    </sheetView>
  </sheetViews>
  <sheetFormatPr defaultColWidth="8.81481481481481" defaultRowHeight="14.4"/>
  <cols>
    <col min="1" max="1" width="44.2685185185185" customWidth="1"/>
    <col min="2" max="12" width="11.7222222222222" customWidth="1"/>
  </cols>
  <sheetData>
    <row r="1" ht="24.6" spans="1:12">
      <c r="A1" s="174" t="str">
        <f>+TS!A1</f>
        <v>Target_Co</v>
      </c>
      <c r="B1" s="175"/>
      <c r="C1" s="175"/>
      <c r="D1" s="175"/>
      <c r="E1" s="175"/>
      <c r="F1" s="175"/>
      <c r="G1" s="175"/>
      <c r="H1" s="175"/>
      <c r="I1" s="175"/>
      <c r="J1" s="175"/>
      <c r="K1" s="211"/>
      <c r="L1" s="211"/>
    </row>
    <row r="2" ht="15.6" spans="1:12">
      <c r="A2" s="15" t="s">
        <v>198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258"/>
    </row>
    <row r="3" spans="1:12">
      <c r="A3" s="177" t="str">
        <f>+TS!A3</f>
        <v>($ in millions, fiscal year ending April 30)</v>
      </c>
      <c r="B3" s="175"/>
      <c r="C3" s="175"/>
      <c r="D3" s="175"/>
      <c r="E3" s="175"/>
      <c r="F3" s="175"/>
      <c r="G3" s="175"/>
      <c r="H3" s="178"/>
      <c r="I3" s="175"/>
      <c r="J3" s="212"/>
      <c r="K3" s="211"/>
      <c r="L3" s="211"/>
    </row>
    <row r="4" spans="1:12">
      <c r="A4" s="185"/>
      <c r="B4" s="185"/>
      <c r="C4" s="216" t="s">
        <v>55</v>
      </c>
      <c r="D4" s="217"/>
      <c r="E4" s="217"/>
      <c r="F4" s="217"/>
      <c r="G4" s="217"/>
      <c r="H4" s="217"/>
      <c r="I4" s="217"/>
      <c r="J4" s="217"/>
      <c r="K4" s="217"/>
      <c r="L4" s="216"/>
    </row>
    <row r="5" spans="1:12">
      <c r="A5" s="185"/>
      <c r="B5" s="218" t="str">
        <f>+TS!F23</f>
        <v>Pro forma</v>
      </c>
      <c r="C5" s="106">
        <f>+TS!G23</f>
        <v>1</v>
      </c>
      <c r="D5" s="106">
        <f>+TS!H23</f>
        <v>2</v>
      </c>
      <c r="E5" s="106">
        <f>+TS!I23</f>
        <v>3</v>
      </c>
      <c r="F5" s="106">
        <f>+TS!J23</f>
        <v>4</v>
      </c>
      <c r="G5" s="106">
        <f>+TS!K23</f>
        <v>5</v>
      </c>
      <c r="H5" s="106">
        <f>+TS!L23</f>
        <v>6</v>
      </c>
      <c r="I5" s="106">
        <f>+TS!M23</f>
        <v>7</v>
      </c>
      <c r="J5" s="106">
        <f>+TS!N23</f>
        <v>8</v>
      </c>
      <c r="K5" s="106">
        <f>+TS!O23</f>
        <v>9</v>
      </c>
      <c r="L5" s="106">
        <f>+TS!P23</f>
        <v>10</v>
      </c>
    </row>
    <row r="6" spans="1:12">
      <c r="A6" s="219"/>
      <c r="B6" s="220">
        <f>+TS!F24</f>
        <v>2024</v>
      </c>
      <c r="C6" s="107">
        <f>+TS!G24</f>
        <v>2025</v>
      </c>
      <c r="D6" s="107">
        <f>+TS!H24</f>
        <v>2026</v>
      </c>
      <c r="E6" s="107">
        <f>+TS!I24</f>
        <v>2027</v>
      </c>
      <c r="F6" s="107">
        <f>+TS!J24</f>
        <v>2028</v>
      </c>
      <c r="G6" s="107">
        <f>+TS!K24</f>
        <v>2029</v>
      </c>
      <c r="H6" s="107">
        <f>+TS!L24</f>
        <v>2030</v>
      </c>
      <c r="I6" s="107">
        <f>+TS!M24</f>
        <v>2031</v>
      </c>
      <c r="J6" s="107">
        <f>+TS!N24</f>
        <v>2032</v>
      </c>
      <c r="K6" s="107">
        <f>+TS!O24</f>
        <v>2033</v>
      </c>
      <c r="L6" s="107">
        <f>+TS!P24</f>
        <v>2034</v>
      </c>
    </row>
    <row r="7" spans="1:12">
      <c r="A7" s="221" t="s">
        <v>199</v>
      </c>
      <c r="B7" s="222">
        <v>0</v>
      </c>
      <c r="C7" s="222">
        <v>0</v>
      </c>
      <c r="D7" s="222">
        <v>0</v>
      </c>
      <c r="E7" s="222">
        <v>0</v>
      </c>
      <c r="F7" s="222">
        <v>0</v>
      </c>
      <c r="G7" s="222">
        <v>0</v>
      </c>
      <c r="H7" s="222">
        <v>0</v>
      </c>
      <c r="I7" s="222">
        <v>0</v>
      </c>
      <c r="J7" s="222">
        <v>0</v>
      </c>
      <c r="K7" s="222">
        <v>0</v>
      </c>
      <c r="L7" s="222">
        <v>0</v>
      </c>
    </row>
    <row r="8" spans="1:12">
      <c r="A8" s="221"/>
      <c r="B8" s="223"/>
      <c r="C8" s="224"/>
      <c r="D8" s="224"/>
      <c r="E8" s="224"/>
      <c r="F8" s="224"/>
      <c r="G8" s="224"/>
      <c r="H8" s="224"/>
      <c r="I8" s="224"/>
      <c r="J8" s="224"/>
      <c r="K8" s="224"/>
      <c r="L8" s="224"/>
    </row>
    <row r="9" spans="1:12">
      <c r="A9" s="221" t="s">
        <v>200</v>
      </c>
      <c r="B9" s="223"/>
      <c r="C9" s="225" t="e">
        <f ca="1">+CF!B22</f>
        <v>#VALUE!</v>
      </c>
      <c r="D9" s="225" t="e">
        <f ca="1">+CF!C22</f>
        <v>#VALUE!</v>
      </c>
      <c r="E9" s="225" t="e">
        <f ca="1">+CF!D22</f>
        <v>#VALUE!</v>
      </c>
      <c r="F9" s="225" t="e">
        <f ca="1">+CF!E22</f>
        <v>#VALUE!</v>
      </c>
      <c r="G9" s="225" t="e">
        <f ca="1">+CF!F22</f>
        <v>#VALUE!</v>
      </c>
      <c r="H9" s="225" t="e">
        <f ca="1">+CF!G22</f>
        <v>#VALUE!</v>
      </c>
      <c r="I9" s="225" t="e">
        <f ca="1">+CF!H22</f>
        <v>#VALUE!</v>
      </c>
      <c r="J9" s="225" t="e">
        <f ca="1">+CF!I22</f>
        <v>#VALUE!</v>
      </c>
      <c r="K9" s="225" t="e">
        <f ca="1">+CF!J22</f>
        <v>#VALUE!</v>
      </c>
      <c r="L9" s="225" t="e">
        <f ca="1">+CF!K22</f>
        <v>#VALUE!</v>
      </c>
    </row>
    <row r="10" spans="1:12">
      <c r="A10" s="221" t="s">
        <v>201</v>
      </c>
      <c r="B10" s="223"/>
      <c r="C10" s="196">
        <f>+CF!B27</f>
        <v>0</v>
      </c>
      <c r="D10" s="196">
        <f>+CF!C27</f>
        <v>0</v>
      </c>
      <c r="E10" s="196">
        <f>+CF!D27</f>
        <v>0</v>
      </c>
      <c r="F10" s="196">
        <f>+CF!E27</f>
        <v>0</v>
      </c>
      <c r="G10" s="196">
        <f>+CF!F27</f>
        <v>0</v>
      </c>
      <c r="H10" s="196">
        <f>+CF!G27</f>
        <v>0</v>
      </c>
      <c r="I10" s="196">
        <f>+CF!H27</f>
        <v>0</v>
      </c>
      <c r="J10" s="196">
        <f>+CF!I27</f>
        <v>0</v>
      </c>
      <c r="K10" s="196">
        <f>+CF!J27</f>
        <v>0</v>
      </c>
      <c r="L10" s="196">
        <f>+CF!K27</f>
        <v>0</v>
      </c>
    </row>
    <row r="11" spans="1:12">
      <c r="A11" s="221" t="s">
        <v>202</v>
      </c>
      <c r="B11" s="223"/>
      <c r="C11" s="191">
        <f>+CF!B39</f>
        <v>0</v>
      </c>
      <c r="D11" s="191">
        <f>+CF!C39</f>
        <v>0</v>
      </c>
      <c r="E11" s="191">
        <f>+CF!D39</f>
        <v>0</v>
      </c>
      <c r="F11" s="191">
        <f>+CF!E39</f>
        <v>0</v>
      </c>
      <c r="G11" s="191">
        <f>+CF!F39</f>
        <v>0</v>
      </c>
      <c r="H11" s="191">
        <f>+CF!G39</f>
        <v>0</v>
      </c>
      <c r="I11" s="191">
        <f>+CF!H39</f>
        <v>0</v>
      </c>
      <c r="J11" s="191">
        <f>+CF!I39</f>
        <v>0</v>
      </c>
      <c r="K11" s="191">
        <f>+CF!J39</f>
        <v>0</v>
      </c>
      <c r="L11" s="191">
        <f>+CF!K39</f>
        <v>0</v>
      </c>
    </row>
    <row r="12" spans="1:12">
      <c r="A12" s="219" t="s">
        <v>203</v>
      </c>
      <c r="B12" s="226"/>
      <c r="C12" s="192" t="e">
        <f ca="1">SUM(C9:C11)</f>
        <v>#VALUE!</v>
      </c>
      <c r="D12" s="192" t="e">
        <f ca="1" t="shared" ref="D12:L12" si="0">SUM(D9:D11)</f>
        <v>#VALUE!</v>
      </c>
      <c r="E12" s="192" t="e">
        <f ca="1" t="shared" si="0"/>
        <v>#VALUE!</v>
      </c>
      <c r="F12" s="192" t="e">
        <f ca="1" t="shared" si="0"/>
        <v>#VALUE!</v>
      </c>
      <c r="G12" s="192" t="e">
        <f ca="1" t="shared" si="0"/>
        <v>#VALUE!</v>
      </c>
      <c r="H12" s="192" t="e">
        <f ca="1" t="shared" si="0"/>
        <v>#VALUE!</v>
      </c>
      <c r="I12" s="192" t="e">
        <f ca="1" t="shared" si="0"/>
        <v>#VALUE!</v>
      </c>
      <c r="J12" s="192" t="e">
        <f ca="1" t="shared" si="0"/>
        <v>#VALUE!</v>
      </c>
      <c r="K12" s="192" t="e">
        <f ca="1" t="shared" si="0"/>
        <v>#VALUE!</v>
      </c>
      <c r="L12" s="192" t="e">
        <f ca="1" t="shared" si="0"/>
        <v>#VALUE!</v>
      </c>
    </row>
    <row r="13" spans="1:12">
      <c r="A13" s="221" t="s">
        <v>204</v>
      </c>
      <c r="B13" s="227" t="s">
        <v>205</v>
      </c>
      <c r="C13" s="196">
        <f>+C40+C55+C70+C85+C99+C111+C122</f>
        <v>0</v>
      </c>
      <c r="D13" s="196">
        <f ca="1" t="shared" ref="D13:L13" si="1">+D40+D55+D70+D85+D99+D111+D122</f>
        <v>0</v>
      </c>
      <c r="E13" s="196">
        <f ca="1" t="shared" si="1"/>
        <v>0</v>
      </c>
      <c r="F13" s="196">
        <f ca="1" t="shared" si="1"/>
        <v>0</v>
      </c>
      <c r="G13" s="196">
        <f ca="1" t="shared" si="1"/>
        <v>0</v>
      </c>
      <c r="H13" s="196">
        <f ca="1" t="shared" si="1"/>
        <v>0</v>
      </c>
      <c r="I13" s="196">
        <f ca="1" t="shared" si="1"/>
        <v>0</v>
      </c>
      <c r="J13" s="196">
        <f ca="1" t="shared" si="1"/>
        <v>0</v>
      </c>
      <c r="K13" s="196">
        <f ca="1" t="shared" si="1"/>
        <v>0</v>
      </c>
      <c r="L13" s="196">
        <f ca="1" t="shared" si="1"/>
        <v>0</v>
      </c>
    </row>
    <row r="14" spans="1:12">
      <c r="A14" s="221" t="s">
        <v>206</v>
      </c>
      <c r="B14" s="228">
        <v>0</v>
      </c>
      <c r="C14" s="191">
        <f>IF(TS!$P$17=1,BS!E7-$B$14,0)</f>
        <v>0</v>
      </c>
      <c r="D14" s="191" t="e">
        <f ca="1">IF(TS!$P$17=1,BS!F7-$B$14,0)</f>
        <v>#VALUE!</v>
      </c>
      <c r="E14" s="191" t="e">
        <f ca="1">IF(TS!$P$17=1,BS!G7-$B$14,0)</f>
        <v>#VALUE!</v>
      </c>
      <c r="F14" s="191" t="e">
        <f ca="1">IF(TS!$P$17=1,BS!H7-$B$14,0)</f>
        <v>#VALUE!</v>
      </c>
      <c r="G14" s="191" t="e">
        <f ca="1">IF(TS!$P$17=1,BS!I7-$B$14,0)</f>
        <v>#VALUE!</v>
      </c>
      <c r="H14" s="191" t="e">
        <f ca="1">IF(TS!$P$17=1,BS!J7-$B$14,0)</f>
        <v>#VALUE!</v>
      </c>
      <c r="I14" s="191" t="e">
        <f ca="1">IF(TS!$P$17=1,BS!K7-$B$14,0)</f>
        <v>#VALUE!</v>
      </c>
      <c r="J14" s="191" t="e">
        <f ca="1">IF(TS!$P$17=1,BS!L7-$B$14,0)</f>
        <v>#VALUE!</v>
      </c>
      <c r="K14" s="191" t="e">
        <f ca="1">IF(TS!$P$17=1,BS!M7-$B$14,0)</f>
        <v>#VALUE!</v>
      </c>
      <c r="L14" s="191" t="e">
        <f ca="1">IF(TS!$P$17=1,BS!N7-$B$14,0)</f>
        <v>#VALUE!</v>
      </c>
    </row>
    <row r="15" spans="1:12">
      <c r="A15" s="219" t="s">
        <v>207</v>
      </c>
      <c r="B15" s="229"/>
      <c r="C15" s="192" t="e">
        <f ca="1">(C12+C13+C14)</f>
        <v>#VALUE!</v>
      </c>
      <c r="D15" s="192" t="e">
        <f ca="1" t="shared" ref="D15:L15" si="2">(D12+D13+D14)</f>
        <v>#VALUE!</v>
      </c>
      <c r="E15" s="192" t="e">
        <f ca="1" t="shared" si="2"/>
        <v>#VALUE!</v>
      </c>
      <c r="F15" s="192" t="e">
        <f ca="1" t="shared" si="2"/>
        <v>#VALUE!</v>
      </c>
      <c r="G15" s="192" t="e">
        <f ca="1" t="shared" si="2"/>
        <v>#VALUE!</v>
      </c>
      <c r="H15" s="192" t="e">
        <f ca="1" t="shared" si="2"/>
        <v>#VALUE!</v>
      </c>
      <c r="I15" s="192" t="e">
        <f ca="1" t="shared" si="2"/>
        <v>#VALUE!</v>
      </c>
      <c r="J15" s="192" t="e">
        <f ca="1" t="shared" si="2"/>
        <v>#VALUE!</v>
      </c>
      <c r="K15" s="192" t="e">
        <f ca="1" t="shared" si="2"/>
        <v>#VALUE!</v>
      </c>
      <c r="L15" s="192" t="e">
        <f ca="1" t="shared" si="2"/>
        <v>#VALUE!</v>
      </c>
    </row>
    <row r="16" spans="1:12">
      <c r="A16" s="230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</row>
    <row r="17" spans="1:12">
      <c r="A17" s="232" t="s">
        <v>19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</row>
    <row r="18" spans="1:12">
      <c r="A18" s="234" t="s">
        <v>208</v>
      </c>
      <c r="B18" s="235">
        <f>+CHOOSE(TS!$P$14,'A3'!C7,'A3'!D7,'A3'!E7,'A3'!F7,'A3'!G7)</f>
        <v>0</v>
      </c>
      <c r="C18" s="236"/>
      <c r="D18" s="236"/>
      <c r="E18" s="236"/>
      <c r="F18" s="236"/>
      <c r="G18" s="236"/>
      <c r="H18" s="236"/>
      <c r="I18" s="236"/>
      <c r="J18" s="236"/>
      <c r="K18" s="236"/>
      <c r="L18" s="259"/>
    </row>
    <row r="19" spans="1:12">
      <c r="A19" s="237" t="s">
        <v>209</v>
      </c>
      <c r="B19" s="238">
        <v>0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60"/>
    </row>
    <row r="20" spans="1:12">
      <c r="A20" s="237" t="s">
        <v>210</v>
      </c>
      <c r="B20" s="238">
        <v>0</v>
      </c>
      <c r="C20" s="239"/>
      <c r="D20" s="239"/>
      <c r="E20" s="239"/>
      <c r="F20" s="239"/>
      <c r="G20" s="239"/>
      <c r="H20" s="239"/>
      <c r="I20" s="239"/>
      <c r="J20" s="239"/>
      <c r="K20" s="239"/>
      <c r="L20" s="260"/>
    </row>
    <row r="21" spans="1:12">
      <c r="A21" s="237" t="s">
        <v>211</v>
      </c>
      <c r="B21" s="240">
        <v>0</v>
      </c>
      <c r="C21" s="239"/>
      <c r="D21" s="239"/>
      <c r="E21" s="239"/>
      <c r="F21" s="239"/>
      <c r="G21" s="239"/>
      <c r="H21" s="239"/>
      <c r="I21" s="239"/>
      <c r="J21" s="239"/>
      <c r="K21" s="239"/>
      <c r="L21" s="260"/>
    </row>
    <row r="22" spans="1:12">
      <c r="A22" s="237" t="s">
        <v>212</v>
      </c>
      <c r="B22" s="222">
        <v>0</v>
      </c>
      <c r="C22" s="239"/>
      <c r="D22" s="239"/>
      <c r="E22" s="239"/>
      <c r="F22" s="239"/>
      <c r="G22" s="239"/>
      <c r="H22" s="239"/>
      <c r="I22" s="239"/>
      <c r="J22" s="239"/>
      <c r="K22" s="239"/>
      <c r="L22" s="260"/>
    </row>
    <row r="23" spans="1:12">
      <c r="A23" s="237"/>
      <c r="B23" s="80"/>
      <c r="C23" s="239"/>
      <c r="D23" s="239"/>
      <c r="E23" s="239"/>
      <c r="F23" s="239"/>
      <c r="G23" s="239"/>
      <c r="H23" s="239"/>
      <c r="I23" s="239"/>
      <c r="J23" s="239"/>
      <c r="K23" s="239"/>
      <c r="L23" s="260"/>
    </row>
    <row r="24" spans="1:12">
      <c r="A24" s="237" t="s">
        <v>213</v>
      </c>
      <c r="B24" s="80"/>
      <c r="C24" s="58">
        <f>BS!E25</f>
        <v>0</v>
      </c>
      <c r="D24" s="58" t="e">
        <f ca="1">+C26</f>
        <v>#VALUE!</v>
      </c>
      <c r="E24" s="58" t="e">
        <f ca="1">+D26</f>
        <v>#VALUE!</v>
      </c>
      <c r="F24" s="58" t="e">
        <f ca="1" t="shared" ref="F24:L24" si="3">+E26</f>
        <v>#VALUE!</v>
      </c>
      <c r="G24" s="58" t="e">
        <f ca="1" t="shared" si="3"/>
        <v>#VALUE!</v>
      </c>
      <c r="H24" s="58" t="e">
        <f ca="1" t="shared" si="3"/>
        <v>#VALUE!</v>
      </c>
      <c r="I24" s="58" t="e">
        <f ca="1" t="shared" si="3"/>
        <v>#VALUE!</v>
      </c>
      <c r="J24" s="58" t="e">
        <f ca="1" t="shared" si="3"/>
        <v>#VALUE!</v>
      </c>
      <c r="K24" s="58" t="e">
        <f ca="1" t="shared" si="3"/>
        <v>#VALUE!</v>
      </c>
      <c r="L24" s="261" t="e">
        <f ca="1" t="shared" si="3"/>
        <v>#VALUE!</v>
      </c>
    </row>
    <row r="25" spans="1:12">
      <c r="A25" s="237" t="s">
        <v>214</v>
      </c>
      <c r="B25" s="80"/>
      <c r="C25" s="83" t="e">
        <f ca="1" t="shared" ref="C25:L25" si="4">+IF(C15&gt;0,-MIN(C15,C24),-MIN(C15,0))</f>
        <v>#VALUE!</v>
      </c>
      <c r="D25" s="83" t="e">
        <f ca="1" t="shared" si="4"/>
        <v>#VALUE!</v>
      </c>
      <c r="E25" s="83" t="e">
        <f ca="1" t="shared" si="4"/>
        <v>#VALUE!</v>
      </c>
      <c r="F25" s="83" t="e">
        <f ca="1" t="shared" si="4"/>
        <v>#VALUE!</v>
      </c>
      <c r="G25" s="83" t="e">
        <f ca="1" t="shared" si="4"/>
        <v>#VALUE!</v>
      </c>
      <c r="H25" s="83" t="e">
        <f ca="1" t="shared" si="4"/>
        <v>#VALUE!</v>
      </c>
      <c r="I25" s="83" t="e">
        <f ca="1" t="shared" si="4"/>
        <v>#VALUE!</v>
      </c>
      <c r="J25" s="83" t="e">
        <f ca="1" t="shared" si="4"/>
        <v>#VALUE!</v>
      </c>
      <c r="K25" s="83" t="e">
        <f ca="1" t="shared" si="4"/>
        <v>#VALUE!</v>
      </c>
      <c r="L25" s="262" t="e">
        <f ca="1" t="shared" si="4"/>
        <v>#VALUE!</v>
      </c>
    </row>
    <row r="26" spans="1:12">
      <c r="A26" s="241" t="s">
        <v>215</v>
      </c>
      <c r="B26" s="80"/>
      <c r="C26" s="242" t="e">
        <f ca="1">SUM(C24:C25)</f>
        <v>#VALUE!</v>
      </c>
      <c r="D26" s="242" t="e">
        <f ca="1" t="shared" ref="D26:L26" si="5">SUM(D24:D25)</f>
        <v>#VALUE!</v>
      </c>
      <c r="E26" s="242" t="e">
        <f ca="1" t="shared" si="5"/>
        <v>#VALUE!</v>
      </c>
      <c r="F26" s="242" t="e">
        <f ca="1" t="shared" si="5"/>
        <v>#VALUE!</v>
      </c>
      <c r="G26" s="242" t="e">
        <f ca="1" t="shared" si="5"/>
        <v>#VALUE!</v>
      </c>
      <c r="H26" s="242" t="e">
        <f ca="1" t="shared" si="5"/>
        <v>#VALUE!</v>
      </c>
      <c r="I26" s="242" t="e">
        <f ca="1" t="shared" si="5"/>
        <v>#VALUE!</v>
      </c>
      <c r="J26" s="242" t="e">
        <f ca="1" t="shared" si="5"/>
        <v>#VALUE!</v>
      </c>
      <c r="K26" s="242" t="e">
        <f ca="1" t="shared" si="5"/>
        <v>#VALUE!</v>
      </c>
      <c r="L26" s="263" t="e">
        <f ca="1" t="shared" si="5"/>
        <v>#VALUE!</v>
      </c>
    </row>
    <row r="27" spans="1:12">
      <c r="A27" s="241"/>
      <c r="B27" s="80"/>
      <c r="C27" s="239"/>
      <c r="D27" s="239"/>
      <c r="E27" s="239"/>
      <c r="F27" s="239"/>
      <c r="G27" s="239"/>
      <c r="H27" s="239"/>
      <c r="I27" s="239"/>
      <c r="J27" s="239"/>
      <c r="K27" s="239"/>
      <c r="L27" s="260"/>
    </row>
    <row r="28" spans="1:12">
      <c r="A28" s="237" t="s">
        <v>216</v>
      </c>
      <c r="B28" s="80"/>
      <c r="C28" s="243">
        <f t="shared" ref="C28:L28" si="6">+IF($B$20&gt;C7,$B$20,C7)+$B$19</f>
        <v>0</v>
      </c>
      <c r="D28" s="243">
        <f t="shared" si="6"/>
        <v>0</v>
      </c>
      <c r="E28" s="243">
        <f t="shared" si="6"/>
        <v>0</v>
      </c>
      <c r="F28" s="243">
        <f t="shared" si="6"/>
        <v>0</v>
      </c>
      <c r="G28" s="243">
        <f t="shared" si="6"/>
        <v>0</v>
      </c>
      <c r="H28" s="243">
        <f t="shared" si="6"/>
        <v>0</v>
      </c>
      <c r="I28" s="243">
        <f t="shared" si="6"/>
        <v>0</v>
      </c>
      <c r="J28" s="243">
        <f t="shared" si="6"/>
        <v>0</v>
      </c>
      <c r="K28" s="243">
        <f t="shared" si="6"/>
        <v>0</v>
      </c>
      <c r="L28" s="264">
        <f t="shared" si="6"/>
        <v>0</v>
      </c>
    </row>
    <row r="29" spans="1:12">
      <c r="A29" s="237" t="s">
        <v>104</v>
      </c>
      <c r="B29" s="80"/>
      <c r="C29" s="43" t="e">
        <f ca="1">IF(TS!$P$18=1,C28*AVERAGE(C24,C26),C28*C26)</f>
        <v>#VALUE!</v>
      </c>
      <c r="D29" s="43" t="e">
        <f ca="1">IF(TS!$P$18=1,D28*AVERAGE(D24,D26),D28*D26)</f>
        <v>#VALUE!</v>
      </c>
      <c r="E29" s="43" t="e">
        <f ca="1">IF(TS!$P$18=1,E28*AVERAGE(E24,E26),E28*E26)</f>
        <v>#VALUE!</v>
      </c>
      <c r="F29" s="43" t="e">
        <f ca="1">IF(TS!$P$18=1,F28*AVERAGE(F24,F26),F28*F26)</f>
        <v>#VALUE!</v>
      </c>
      <c r="G29" s="43" t="e">
        <f ca="1">IF(TS!$P$18=1,G28*AVERAGE(G24,G26),G28*G26)</f>
        <v>#VALUE!</v>
      </c>
      <c r="H29" s="43" t="e">
        <f ca="1">IF(TS!$P$18=1,H28*AVERAGE(H24,H26),H28*H26)</f>
        <v>#VALUE!</v>
      </c>
      <c r="I29" s="43" t="e">
        <f ca="1">IF(TS!$P$18=1,I28*AVERAGE(I24,I26),I28*I26)</f>
        <v>#VALUE!</v>
      </c>
      <c r="J29" s="43" t="e">
        <f ca="1">IF(TS!$P$18=1,J28*AVERAGE(J24,J26),J28*J26)</f>
        <v>#VALUE!</v>
      </c>
      <c r="K29" s="43" t="e">
        <f ca="1">IF(TS!$P$18=1,K28*AVERAGE(K24,K26),K28*K26)</f>
        <v>#VALUE!</v>
      </c>
      <c r="L29" s="265" t="e">
        <f ca="1">IF(TS!$P$18=1,L28*AVERAGE(L24,L26),L28*L26)</f>
        <v>#VALUE!</v>
      </c>
    </row>
    <row r="30" spans="1:12">
      <c r="A30" s="237" t="s">
        <v>217</v>
      </c>
      <c r="B30" s="80"/>
      <c r="C30" s="43" t="e">
        <f ca="1">+$B$22*($B$18-(AVERAGE(C24,C26)))</f>
        <v>#VALUE!</v>
      </c>
      <c r="D30" s="43" t="e">
        <f ca="1">+$B$22*($B$18-(AVERAGE(D24,D26)))</f>
        <v>#VALUE!</v>
      </c>
      <c r="E30" s="43" t="e">
        <f ca="1" t="shared" ref="E30:L30" si="7">+$B$22*($B$18-(AVERAGE(E24,E26)))</f>
        <v>#VALUE!</v>
      </c>
      <c r="F30" s="43" t="e">
        <f ca="1" t="shared" si="7"/>
        <v>#VALUE!</v>
      </c>
      <c r="G30" s="43" t="e">
        <f ca="1" t="shared" si="7"/>
        <v>#VALUE!</v>
      </c>
      <c r="H30" s="43" t="e">
        <f ca="1" t="shared" si="7"/>
        <v>#VALUE!</v>
      </c>
      <c r="I30" s="43" t="e">
        <f ca="1" t="shared" si="7"/>
        <v>#VALUE!</v>
      </c>
      <c r="J30" s="43" t="e">
        <f ca="1" t="shared" si="7"/>
        <v>#VALUE!</v>
      </c>
      <c r="K30" s="43" t="e">
        <f ca="1" t="shared" si="7"/>
        <v>#VALUE!</v>
      </c>
      <c r="L30" s="265" t="e">
        <f ca="1" t="shared" si="7"/>
        <v>#VALUE!</v>
      </c>
    </row>
    <row r="31" spans="1:12">
      <c r="A31" s="244" t="s">
        <v>107</v>
      </c>
      <c r="B31" s="245"/>
      <c r="C31" s="83">
        <f>IF(B18&gt;0,0.15,0)</f>
        <v>0</v>
      </c>
      <c r="D31" s="83">
        <f>+C31</f>
        <v>0</v>
      </c>
      <c r="E31" s="83">
        <f t="shared" ref="E31:L31" si="8">+D31</f>
        <v>0</v>
      </c>
      <c r="F31" s="83">
        <f t="shared" si="8"/>
        <v>0</v>
      </c>
      <c r="G31" s="83">
        <f t="shared" si="8"/>
        <v>0</v>
      </c>
      <c r="H31" s="83">
        <f t="shared" si="8"/>
        <v>0</v>
      </c>
      <c r="I31" s="83">
        <f t="shared" si="8"/>
        <v>0</v>
      </c>
      <c r="J31" s="83">
        <f t="shared" si="8"/>
        <v>0</v>
      </c>
      <c r="K31" s="83">
        <f t="shared" si="8"/>
        <v>0</v>
      </c>
      <c r="L31" s="262">
        <f t="shared" si="8"/>
        <v>0</v>
      </c>
    </row>
    <row r="32" spans="1:12">
      <c r="A32" s="246"/>
      <c r="B32" s="246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  <row r="33" spans="1:12">
      <c r="A33" s="248" t="s">
        <v>218</v>
      </c>
      <c r="B33" s="246"/>
      <c r="C33" s="249"/>
      <c r="D33" s="249"/>
      <c r="E33" s="249"/>
      <c r="F33" s="249"/>
      <c r="G33" s="249"/>
      <c r="H33" s="249"/>
      <c r="I33" s="249"/>
      <c r="J33" s="249"/>
      <c r="K33" s="249"/>
      <c r="L33" s="249"/>
    </row>
    <row r="34" spans="1:12">
      <c r="A34" s="234" t="s">
        <v>219</v>
      </c>
      <c r="B34" s="250">
        <f>TS!B10</f>
        <v>0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59"/>
    </row>
    <row r="35" spans="1:12">
      <c r="A35" s="237" t="s">
        <v>209</v>
      </c>
      <c r="B35" s="238">
        <v>0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60"/>
    </row>
    <row r="36" spans="1:12">
      <c r="A36" s="237" t="s">
        <v>211</v>
      </c>
      <c r="B36" s="240">
        <v>0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60"/>
    </row>
    <row r="37" spans="1:12">
      <c r="A37" s="237" t="s">
        <v>220</v>
      </c>
      <c r="B37" s="80"/>
      <c r="C37" s="251">
        <v>0</v>
      </c>
      <c r="D37" s="251">
        <v>0</v>
      </c>
      <c r="E37" s="251">
        <v>0</v>
      </c>
      <c r="F37" s="251">
        <v>0</v>
      </c>
      <c r="G37" s="251">
        <v>0</v>
      </c>
      <c r="H37" s="252">
        <f>1-SUM(C37:G37)</f>
        <v>1</v>
      </c>
      <c r="I37" s="266"/>
      <c r="J37" s="239"/>
      <c r="K37" s="239"/>
      <c r="L37" s="260"/>
    </row>
    <row r="38" spans="1:12">
      <c r="A38" s="237"/>
      <c r="B38" s="80"/>
      <c r="C38" s="239"/>
      <c r="D38" s="239"/>
      <c r="E38" s="239"/>
      <c r="F38" s="239"/>
      <c r="G38" s="239"/>
      <c r="H38" s="239"/>
      <c r="I38" s="239"/>
      <c r="J38" s="239"/>
      <c r="K38" s="239"/>
      <c r="L38" s="260"/>
    </row>
    <row r="39" spans="1:12">
      <c r="A39" s="237" t="s">
        <v>213</v>
      </c>
      <c r="B39" s="80"/>
      <c r="C39" s="58">
        <f>+BS!E26</f>
        <v>0</v>
      </c>
      <c r="D39" s="58">
        <f ca="1" t="shared" ref="D39:L39" si="9">+C42</f>
        <v>0</v>
      </c>
      <c r="E39" s="58">
        <f ca="1" t="shared" si="9"/>
        <v>0</v>
      </c>
      <c r="F39" s="58">
        <f ca="1" t="shared" si="9"/>
        <v>0</v>
      </c>
      <c r="G39" s="58">
        <f ca="1" t="shared" si="9"/>
        <v>0</v>
      </c>
      <c r="H39" s="58">
        <f ca="1" t="shared" si="9"/>
        <v>0</v>
      </c>
      <c r="I39" s="58">
        <f ca="1" t="shared" si="9"/>
        <v>0</v>
      </c>
      <c r="J39" s="58">
        <f ca="1" t="shared" si="9"/>
        <v>0</v>
      </c>
      <c r="K39" s="58">
        <f ca="1" t="shared" si="9"/>
        <v>0</v>
      </c>
      <c r="L39" s="261">
        <f ca="1" t="shared" si="9"/>
        <v>0</v>
      </c>
    </row>
    <row r="40" spans="1:12">
      <c r="A40" s="237" t="s">
        <v>221</v>
      </c>
      <c r="B40" s="80"/>
      <c r="C40" s="43">
        <f>+IF((AND(C39&gt;0,C39&gt;=($B$34*C37))),$B$34*-C37,0)</f>
        <v>0</v>
      </c>
      <c r="D40" s="43">
        <f ca="1" t="shared" ref="D40:L40" si="10">+IF((AND(D39&gt;0,D39&gt;=($B$34*D37))),$B$34*-D37,0)</f>
        <v>0</v>
      </c>
      <c r="E40" s="43">
        <f ca="1" t="shared" si="10"/>
        <v>0</v>
      </c>
      <c r="F40" s="43">
        <f ca="1" t="shared" si="10"/>
        <v>0</v>
      </c>
      <c r="G40" s="43">
        <f ca="1" t="shared" si="10"/>
        <v>0</v>
      </c>
      <c r="H40" s="43">
        <f ca="1" t="shared" si="10"/>
        <v>0</v>
      </c>
      <c r="I40" s="43">
        <f ca="1" t="shared" si="10"/>
        <v>0</v>
      </c>
      <c r="J40" s="43">
        <f ca="1" t="shared" si="10"/>
        <v>0</v>
      </c>
      <c r="K40" s="43">
        <f ca="1" t="shared" si="10"/>
        <v>0</v>
      </c>
      <c r="L40" s="265">
        <f ca="1" t="shared" si="10"/>
        <v>0</v>
      </c>
    </row>
    <row r="41" spans="1:12">
      <c r="A41" s="237" t="s">
        <v>222</v>
      </c>
      <c r="B41" s="80"/>
      <c r="C41" s="83">
        <f ca="1">IF(TS!$P$16=1,-MIN(C15+C25,C39+C40),0)</f>
        <v>0</v>
      </c>
      <c r="D41" s="83">
        <f ca="1">IF(TS!$P$16=1,-MIN(D15+D25,D39+D40),0)</f>
        <v>0</v>
      </c>
      <c r="E41" s="83">
        <f ca="1">IF(TS!$P$16=1,-MIN(E15+E25,E39+E40),0)</f>
        <v>0</v>
      </c>
      <c r="F41" s="83">
        <f ca="1">IF(TS!$P$16=1,-MIN(F15+F25,F39+F40),0)</f>
        <v>0</v>
      </c>
      <c r="G41" s="83">
        <f ca="1">IF(TS!$P$16=1,-MIN(G15+G25,G39+G40),0)</f>
        <v>0</v>
      </c>
      <c r="H41" s="83">
        <f ca="1">IF(TS!$P$16=1,-MIN(H15+H25,H39+H40),0)</f>
        <v>0</v>
      </c>
      <c r="I41" s="83">
        <f ca="1">IF(TS!$P$16=1,-MIN(I15+I25,I39+I40),0)</f>
        <v>0</v>
      </c>
      <c r="J41" s="83">
        <f ca="1">IF(TS!$P$16=1,-MIN(J15+J25,J39+J40),0)</f>
        <v>0</v>
      </c>
      <c r="K41" s="83">
        <f ca="1">IF(TS!$P$16=1,-MIN(K15+K25,K39+K40),0)</f>
        <v>0</v>
      </c>
      <c r="L41" s="262">
        <f ca="1">IF(TS!$P$16=1,-MIN(L15+L25,L39+L40),0)</f>
        <v>0</v>
      </c>
    </row>
    <row r="42" spans="1:12">
      <c r="A42" s="241" t="s">
        <v>215</v>
      </c>
      <c r="B42" s="80"/>
      <c r="C42" s="242">
        <f ca="1" t="shared" ref="C42:L42" si="11">SUM(C39:C41)</f>
        <v>0</v>
      </c>
      <c r="D42" s="242">
        <f ca="1" t="shared" si="11"/>
        <v>0</v>
      </c>
      <c r="E42" s="242">
        <f ca="1" t="shared" si="11"/>
        <v>0</v>
      </c>
      <c r="F42" s="242">
        <f ca="1" t="shared" si="11"/>
        <v>0</v>
      </c>
      <c r="G42" s="242">
        <f ca="1" t="shared" si="11"/>
        <v>0</v>
      </c>
      <c r="H42" s="242">
        <f ca="1" t="shared" si="11"/>
        <v>0</v>
      </c>
      <c r="I42" s="242">
        <f ca="1" t="shared" si="11"/>
        <v>0</v>
      </c>
      <c r="J42" s="242">
        <f ca="1" t="shared" si="11"/>
        <v>0</v>
      </c>
      <c r="K42" s="242">
        <f ca="1" t="shared" si="11"/>
        <v>0</v>
      </c>
      <c r="L42" s="263">
        <f ca="1" t="shared" si="11"/>
        <v>0</v>
      </c>
    </row>
    <row r="43" spans="1:12">
      <c r="A43" s="237"/>
      <c r="B43" s="80"/>
      <c r="C43" s="253"/>
      <c r="D43" s="253"/>
      <c r="E43" s="253"/>
      <c r="F43" s="253"/>
      <c r="G43" s="253"/>
      <c r="H43" s="253"/>
      <c r="I43" s="253"/>
      <c r="J43" s="253"/>
      <c r="K43" s="253"/>
      <c r="L43" s="267"/>
    </row>
    <row r="44" spans="1:12">
      <c r="A44" s="237" t="s">
        <v>216</v>
      </c>
      <c r="B44" s="80"/>
      <c r="C44" s="243">
        <f>+$B$35+C7</f>
        <v>0</v>
      </c>
      <c r="D44" s="243">
        <f t="shared" ref="D44:L44" si="12">+$B$35+D7</f>
        <v>0</v>
      </c>
      <c r="E44" s="243">
        <f t="shared" si="12"/>
        <v>0</v>
      </c>
      <c r="F44" s="243">
        <f t="shared" si="12"/>
        <v>0</v>
      </c>
      <c r="G44" s="243">
        <f t="shared" si="12"/>
        <v>0</v>
      </c>
      <c r="H44" s="243">
        <f t="shared" si="12"/>
        <v>0</v>
      </c>
      <c r="I44" s="243">
        <f t="shared" si="12"/>
        <v>0</v>
      </c>
      <c r="J44" s="243">
        <f t="shared" si="12"/>
        <v>0</v>
      </c>
      <c r="K44" s="243">
        <f t="shared" si="12"/>
        <v>0</v>
      </c>
      <c r="L44" s="264">
        <f t="shared" si="12"/>
        <v>0</v>
      </c>
    </row>
    <row r="45" spans="1:12">
      <c r="A45" s="244" t="s">
        <v>104</v>
      </c>
      <c r="B45" s="245"/>
      <c r="C45" s="83">
        <f ca="1">IF(TS!$P$18=1,C44*AVERAGE(C39,C42),C44*C42)</f>
        <v>0</v>
      </c>
      <c r="D45" s="83">
        <f ca="1">IF(TS!$P$18=1,D44*AVERAGE(D39,D42),D44*D42)</f>
        <v>0</v>
      </c>
      <c r="E45" s="83">
        <f ca="1">IF(TS!$P$18=1,E44*AVERAGE(E39,E42),E44*E42)</f>
        <v>0</v>
      </c>
      <c r="F45" s="83">
        <f ca="1">IF(TS!$P$18=1,F44*AVERAGE(F39,F42),F44*F42)</f>
        <v>0</v>
      </c>
      <c r="G45" s="83">
        <f ca="1">IF(TS!$P$18=1,G44*AVERAGE(G39,G42),G44*G42)</f>
        <v>0</v>
      </c>
      <c r="H45" s="83">
        <f ca="1">IF(TS!$P$18=1,H44*AVERAGE(H39,H42),H44*H42)</f>
        <v>0</v>
      </c>
      <c r="I45" s="83">
        <f ca="1">IF(TS!$P$18=1,I44*AVERAGE(I39,I42),I44*I42)</f>
        <v>0</v>
      </c>
      <c r="J45" s="83">
        <f ca="1">IF(TS!$P$18=1,J44*AVERAGE(J39,J42),J44*J42)</f>
        <v>0</v>
      </c>
      <c r="K45" s="83">
        <f ca="1">IF(TS!$P$18=1,K44*AVERAGE(K39,K42),K44*K42)</f>
        <v>0</v>
      </c>
      <c r="L45" s="262">
        <f ca="1">IF(TS!$P$18=1,L44*AVERAGE(L39,L42),L44*L42)</f>
        <v>0</v>
      </c>
    </row>
    <row r="46" spans="1:12">
      <c r="A46" s="219"/>
      <c r="B46" s="219"/>
      <c r="C46" s="254"/>
      <c r="D46" s="254"/>
      <c r="E46" s="254"/>
      <c r="F46" s="254"/>
      <c r="G46" s="254"/>
      <c r="H46" s="254"/>
      <c r="I46" s="254"/>
      <c r="J46" s="254"/>
      <c r="K46" s="254"/>
      <c r="L46" s="254"/>
    </row>
    <row r="47" spans="1:12">
      <c r="A47" s="248" t="s">
        <v>223</v>
      </c>
      <c r="B47" s="246"/>
      <c r="C47" s="249"/>
      <c r="D47" s="249"/>
      <c r="E47" s="249"/>
      <c r="F47" s="249"/>
      <c r="G47" s="249"/>
      <c r="H47" s="249"/>
      <c r="I47" s="249"/>
      <c r="J47" s="249"/>
      <c r="K47" s="249"/>
      <c r="L47" s="249"/>
    </row>
    <row r="48" spans="1:12">
      <c r="A48" s="234" t="s">
        <v>219</v>
      </c>
      <c r="B48" s="235">
        <f>TS!B11</f>
        <v>0</v>
      </c>
      <c r="C48" s="236"/>
      <c r="D48" s="236"/>
      <c r="E48" s="236"/>
      <c r="F48" s="236"/>
      <c r="G48" s="236"/>
      <c r="H48" s="236"/>
      <c r="I48" s="236"/>
      <c r="J48" s="236"/>
      <c r="K48" s="236"/>
      <c r="L48" s="259"/>
    </row>
    <row r="49" spans="1:12">
      <c r="A49" s="237" t="s">
        <v>209</v>
      </c>
      <c r="B49" s="238">
        <v>0</v>
      </c>
      <c r="C49" s="239"/>
      <c r="D49" s="239"/>
      <c r="E49" s="239"/>
      <c r="F49" s="239"/>
      <c r="G49" s="239"/>
      <c r="H49" s="239"/>
      <c r="I49" s="239"/>
      <c r="J49" s="239"/>
      <c r="K49" s="239"/>
      <c r="L49" s="260"/>
    </row>
    <row r="50" spans="1:12">
      <c r="A50" s="237" t="s">
        <v>210</v>
      </c>
      <c r="B50" s="238">
        <v>0</v>
      </c>
      <c r="C50" s="239"/>
      <c r="D50" s="239"/>
      <c r="E50" s="239"/>
      <c r="F50" s="239"/>
      <c r="G50" s="239"/>
      <c r="H50" s="239"/>
      <c r="I50" s="239"/>
      <c r="J50" s="239"/>
      <c r="K50" s="239"/>
      <c r="L50" s="260"/>
    </row>
    <row r="51" spans="1:12">
      <c r="A51" s="237" t="s">
        <v>211</v>
      </c>
      <c r="B51" s="240">
        <v>0</v>
      </c>
      <c r="C51" s="239"/>
      <c r="D51" s="239"/>
      <c r="E51" s="239"/>
      <c r="F51" s="239"/>
      <c r="G51" s="239"/>
      <c r="H51" s="239"/>
      <c r="I51" s="239"/>
      <c r="J51" s="239"/>
      <c r="K51" s="239"/>
      <c r="L51" s="260"/>
    </row>
    <row r="52" spans="1:12">
      <c r="A52" s="237" t="s">
        <v>220</v>
      </c>
      <c r="B52" s="251">
        <v>0</v>
      </c>
      <c r="C52" s="255" t="s">
        <v>224</v>
      </c>
      <c r="D52" s="256"/>
      <c r="E52" s="257"/>
      <c r="F52" s="239"/>
      <c r="G52" s="239"/>
      <c r="H52" s="239"/>
      <c r="I52" s="239"/>
      <c r="J52" s="239"/>
      <c r="K52" s="239"/>
      <c r="L52" s="260"/>
    </row>
    <row r="53" spans="1:12">
      <c r="A53" s="237"/>
      <c r="B53" s="80"/>
      <c r="C53" s="239"/>
      <c r="D53" s="239"/>
      <c r="E53" s="239"/>
      <c r="F53" s="239"/>
      <c r="G53" s="239"/>
      <c r="H53" s="239"/>
      <c r="I53" s="239"/>
      <c r="J53" s="239"/>
      <c r="K53" s="239"/>
      <c r="L53" s="260"/>
    </row>
    <row r="54" spans="1:12">
      <c r="A54" s="237" t="s">
        <v>213</v>
      </c>
      <c r="B54" s="80"/>
      <c r="C54" s="58">
        <f>+BS!E27</f>
        <v>0</v>
      </c>
      <c r="D54" s="58">
        <f ca="1">+C57</f>
        <v>0</v>
      </c>
      <c r="E54" s="58">
        <f ca="1" t="shared" ref="E54:L54" si="13">+D57</f>
        <v>0</v>
      </c>
      <c r="F54" s="58">
        <f ca="1" t="shared" si="13"/>
        <v>0</v>
      </c>
      <c r="G54" s="58">
        <f ca="1" t="shared" si="13"/>
        <v>0</v>
      </c>
      <c r="H54" s="58">
        <f ca="1" t="shared" si="13"/>
        <v>0</v>
      </c>
      <c r="I54" s="58">
        <f ca="1" t="shared" si="13"/>
        <v>0</v>
      </c>
      <c r="J54" s="58">
        <f ca="1" t="shared" si="13"/>
        <v>0</v>
      </c>
      <c r="K54" s="58">
        <f ca="1" t="shared" si="13"/>
        <v>0</v>
      </c>
      <c r="L54" s="261">
        <f ca="1" t="shared" si="13"/>
        <v>0</v>
      </c>
    </row>
    <row r="55" spans="1:12">
      <c r="A55" s="237" t="s">
        <v>221</v>
      </c>
      <c r="B55" s="80"/>
      <c r="C55" s="43">
        <f>+IF((AND(C54&gt;0,C54&gt;=($B$48*$B$52))),$B$48*-$B$52,0)</f>
        <v>0</v>
      </c>
      <c r="D55" s="43">
        <f ca="1" t="shared" ref="D55:K55" si="14">+IF((AND(D54&gt;0,D54&gt;=($B$48*$B$52))),$B$48*-$B$52,0)</f>
        <v>0</v>
      </c>
      <c r="E55" s="43">
        <f ca="1" t="shared" si="14"/>
        <v>0</v>
      </c>
      <c r="F55" s="43">
        <f ca="1" t="shared" si="14"/>
        <v>0</v>
      </c>
      <c r="G55" s="43">
        <f ca="1" t="shared" si="14"/>
        <v>0</v>
      </c>
      <c r="H55" s="43">
        <f ca="1" t="shared" si="14"/>
        <v>0</v>
      </c>
      <c r="I55" s="43">
        <f ca="1" t="shared" si="14"/>
        <v>0</v>
      </c>
      <c r="J55" s="43">
        <f ca="1" t="shared" si="14"/>
        <v>0</v>
      </c>
      <c r="K55" s="43">
        <f ca="1" t="shared" si="14"/>
        <v>0</v>
      </c>
      <c r="L55" s="265">
        <f ca="1">-K57</f>
        <v>0</v>
      </c>
    </row>
    <row r="56" spans="1:12">
      <c r="A56" s="237" t="s">
        <v>222</v>
      </c>
      <c r="B56" s="80"/>
      <c r="C56" s="83">
        <f ca="1">IF(TS!$P$16=1,-MIN(C15+C25+C41,C54+C55),0)</f>
        <v>0</v>
      </c>
      <c r="D56" s="83">
        <f ca="1">IF(TS!$P$16=1,-MIN(D15+D25+D41,D54+D55),0)</f>
        <v>0</v>
      </c>
      <c r="E56" s="83">
        <f ca="1">IF(TS!$P$16=1,-MIN(E15+E25+E41,E54+E55),0)</f>
        <v>0</v>
      </c>
      <c r="F56" s="83">
        <f ca="1">IF(TS!$P$16=1,-MIN(F15+F25+F41,F54+F55),0)</f>
        <v>0</v>
      </c>
      <c r="G56" s="83">
        <f ca="1">IF(TS!$P$16=1,-MIN(G15+G25+G41,G54+G55),0)</f>
        <v>0</v>
      </c>
      <c r="H56" s="83">
        <f ca="1">IF(TS!$P$16=1,-MIN(H15+H25+H41,H54+H55),0)</f>
        <v>0</v>
      </c>
      <c r="I56" s="83">
        <f ca="1">IF(TS!$P$16=1,-MIN(I15+I25+I41,I54+I55),0)</f>
        <v>0</v>
      </c>
      <c r="J56" s="83">
        <f ca="1">IF(TS!$P$16=1,-MIN(J15+J25+J41,J54+J55),0)</f>
        <v>0</v>
      </c>
      <c r="K56" s="83">
        <f ca="1">IF(TS!$P$16=1,-MIN(K15+K25+K41,K54+K55),0)</f>
        <v>0</v>
      </c>
      <c r="L56" s="262">
        <f ca="1">IF(TS!$P$16=1,-MIN(L15+L25+L41,L54+L55),0)</f>
        <v>0</v>
      </c>
    </row>
    <row r="57" spans="1:12">
      <c r="A57" s="241" t="s">
        <v>215</v>
      </c>
      <c r="B57" s="80"/>
      <c r="C57" s="242">
        <f ca="1">SUM(C54:C56)</f>
        <v>0</v>
      </c>
      <c r="D57" s="242">
        <f ca="1" t="shared" ref="D57:L57" si="15">SUM(D54:D56)</f>
        <v>0</v>
      </c>
      <c r="E57" s="242">
        <f ca="1" t="shared" si="15"/>
        <v>0</v>
      </c>
      <c r="F57" s="242">
        <f ca="1" t="shared" si="15"/>
        <v>0</v>
      </c>
      <c r="G57" s="242">
        <f ca="1" t="shared" si="15"/>
        <v>0</v>
      </c>
      <c r="H57" s="242">
        <f ca="1" t="shared" si="15"/>
        <v>0</v>
      </c>
      <c r="I57" s="242">
        <f ca="1" t="shared" si="15"/>
        <v>0</v>
      </c>
      <c r="J57" s="242">
        <f ca="1" t="shared" si="15"/>
        <v>0</v>
      </c>
      <c r="K57" s="242">
        <f ca="1" t="shared" si="15"/>
        <v>0</v>
      </c>
      <c r="L57" s="263">
        <f ca="1" t="shared" si="15"/>
        <v>0</v>
      </c>
    </row>
    <row r="58" spans="1:12">
      <c r="A58" s="241"/>
      <c r="B58" s="80"/>
      <c r="C58" s="253"/>
      <c r="D58" s="253"/>
      <c r="E58" s="253"/>
      <c r="F58" s="253"/>
      <c r="G58" s="253"/>
      <c r="H58" s="253"/>
      <c r="I58" s="253"/>
      <c r="J58" s="253"/>
      <c r="K58" s="253"/>
      <c r="L58" s="267"/>
    </row>
    <row r="59" spans="1:12">
      <c r="A59" s="237" t="s">
        <v>216</v>
      </c>
      <c r="B59" s="80"/>
      <c r="C59" s="243">
        <f t="shared" ref="C59:L59" si="16">+IF($B$50&gt;C7,$B$50,C7)+$B$49</f>
        <v>0</v>
      </c>
      <c r="D59" s="243">
        <f t="shared" si="16"/>
        <v>0</v>
      </c>
      <c r="E59" s="243">
        <f t="shared" si="16"/>
        <v>0</v>
      </c>
      <c r="F59" s="243">
        <f t="shared" si="16"/>
        <v>0</v>
      </c>
      <c r="G59" s="243">
        <f t="shared" si="16"/>
        <v>0</v>
      </c>
      <c r="H59" s="243">
        <f t="shared" si="16"/>
        <v>0</v>
      </c>
      <c r="I59" s="243">
        <f t="shared" si="16"/>
        <v>0</v>
      </c>
      <c r="J59" s="243">
        <f t="shared" si="16"/>
        <v>0</v>
      </c>
      <c r="K59" s="243">
        <f t="shared" si="16"/>
        <v>0</v>
      </c>
      <c r="L59" s="264">
        <f t="shared" si="16"/>
        <v>0</v>
      </c>
    </row>
    <row r="60" spans="1:12">
      <c r="A60" s="244" t="s">
        <v>104</v>
      </c>
      <c r="B60" s="245"/>
      <c r="C60" s="83">
        <f ca="1">+IF(TS!$P$18=1,C59*AVERAGE(C54,C57),C59*C57)</f>
        <v>0</v>
      </c>
      <c r="D60" s="83">
        <f ca="1">+IF(TS!$P$18=1,D59*AVERAGE(D54,D57),D59*D57)</f>
        <v>0</v>
      </c>
      <c r="E60" s="83">
        <f ca="1">+IF(TS!$P$18=1,E59*AVERAGE(E54,E57),E59*E57)</f>
        <v>0</v>
      </c>
      <c r="F60" s="83">
        <f ca="1">+IF(TS!$P$18=1,F59*AVERAGE(F54,F57),F59*F57)</f>
        <v>0</v>
      </c>
      <c r="G60" s="83">
        <f ca="1">+IF(TS!$P$18=1,G59*AVERAGE(G54,G57),G59*G57)</f>
        <v>0</v>
      </c>
      <c r="H60" s="83">
        <f ca="1">+IF(TS!$P$18=1,H59*AVERAGE(H54,H57),H59*H57)</f>
        <v>0</v>
      </c>
      <c r="I60" s="83">
        <f ca="1">+IF(TS!$P$18=1,I59*AVERAGE(I54,I57),I59*I57)</f>
        <v>0</v>
      </c>
      <c r="J60" s="83">
        <f ca="1">+IF(TS!$P$18=1,J59*AVERAGE(J54,J57),J59*J57)</f>
        <v>0</v>
      </c>
      <c r="K60" s="83">
        <f ca="1">+IF(TS!$P$18=1,K59*AVERAGE(K54,K57),K59*K57)</f>
        <v>0</v>
      </c>
      <c r="L60" s="262">
        <f ca="1">+IF(TS!$P$18=1,L59*AVERAGE(L54,L57),L59*L57)</f>
        <v>0</v>
      </c>
    </row>
    <row r="61" spans="1:12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</row>
    <row r="62" spans="1:12">
      <c r="A62" s="248" t="s">
        <v>225</v>
      </c>
      <c r="B62" s="246"/>
      <c r="C62" s="249"/>
      <c r="D62" s="249"/>
      <c r="E62" s="249"/>
      <c r="F62" s="249"/>
      <c r="G62" s="249"/>
      <c r="H62" s="249"/>
      <c r="I62" s="249"/>
      <c r="J62" s="249"/>
      <c r="K62" s="249"/>
      <c r="L62" s="249"/>
    </row>
    <row r="63" spans="1:12">
      <c r="A63" s="234" t="s">
        <v>219</v>
      </c>
      <c r="B63" s="235">
        <f>TS!B12</f>
        <v>0</v>
      </c>
      <c r="C63" s="236"/>
      <c r="D63" s="236"/>
      <c r="E63" s="236"/>
      <c r="F63" s="236"/>
      <c r="G63" s="236"/>
      <c r="H63" s="236"/>
      <c r="I63" s="236"/>
      <c r="J63" s="236"/>
      <c r="K63" s="236"/>
      <c r="L63" s="259"/>
    </row>
    <row r="64" spans="1:12">
      <c r="A64" s="237" t="s">
        <v>209</v>
      </c>
      <c r="B64" s="238">
        <v>0</v>
      </c>
      <c r="C64" s="239"/>
      <c r="D64" s="239"/>
      <c r="E64" s="239"/>
      <c r="F64" s="239"/>
      <c r="G64" s="239"/>
      <c r="H64" s="239"/>
      <c r="I64" s="239"/>
      <c r="J64" s="239"/>
      <c r="K64" s="239"/>
      <c r="L64" s="260"/>
    </row>
    <row r="65" spans="1:12">
      <c r="A65" s="237" t="s">
        <v>210</v>
      </c>
      <c r="B65" s="238">
        <v>0</v>
      </c>
      <c r="C65" s="239"/>
      <c r="D65" s="239"/>
      <c r="E65" s="239"/>
      <c r="F65" s="239"/>
      <c r="G65" s="239"/>
      <c r="H65" s="239"/>
      <c r="I65" s="239"/>
      <c r="J65" s="239"/>
      <c r="K65" s="239"/>
      <c r="L65" s="260"/>
    </row>
    <row r="66" spans="1:12">
      <c r="A66" s="237" t="s">
        <v>211</v>
      </c>
      <c r="B66" s="240">
        <v>0</v>
      </c>
      <c r="C66" s="239"/>
      <c r="D66" s="239"/>
      <c r="E66" s="239"/>
      <c r="F66" s="239"/>
      <c r="G66" s="239"/>
      <c r="H66" s="239"/>
      <c r="I66" s="239"/>
      <c r="J66" s="239"/>
      <c r="K66" s="239"/>
      <c r="L66" s="260"/>
    </row>
    <row r="67" spans="1:12">
      <c r="A67" s="237" t="s">
        <v>220</v>
      </c>
      <c r="B67" s="251">
        <v>0</v>
      </c>
      <c r="C67" s="255" t="s">
        <v>224</v>
      </c>
      <c r="D67" s="256"/>
      <c r="E67" s="257"/>
      <c r="F67" s="239"/>
      <c r="G67" s="239"/>
      <c r="H67" s="239"/>
      <c r="I67" s="239"/>
      <c r="J67" s="239"/>
      <c r="K67" s="239"/>
      <c r="L67" s="260"/>
    </row>
    <row r="68" spans="1:12">
      <c r="A68" s="237"/>
      <c r="B68" s="80"/>
      <c r="C68" s="239"/>
      <c r="D68" s="239"/>
      <c r="E68" s="239"/>
      <c r="F68" s="239"/>
      <c r="G68" s="239"/>
      <c r="H68" s="239"/>
      <c r="I68" s="239"/>
      <c r="J68" s="239"/>
      <c r="K68" s="239"/>
      <c r="L68" s="260"/>
    </row>
    <row r="69" spans="1:12">
      <c r="A69" s="237" t="s">
        <v>213</v>
      </c>
      <c r="B69" s="80"/>
      <c r="C69" s="58">
        <f>+BS!E28</f>
        <v>0</v>
      </c>
      <c r="D69" s="58">
        <f ca="1" t="shared" ref="D69:L69" si="17">+C72</f>
        <v>0</v>
      </c>
      <c r="E69" s="58">
        <f ca="1" t="shared" si="17"/>
        <v>0</v>
      </c>
      <c r="F69" s="58">
        <f ca="1" t="shared" si="17"/>
        <v>0</v>
      </c>
      <c r="G69" s="58">
        <f ca="1" t="shared" si="17"/>
        <v>0</v>
      </c>
      <c r="H69" s="58">
        <f ca="1" t="shared" si="17"/>
        <v>0</v>
      </c>
      <c r="I69" s="58">
        <f ca="1" t="shared" si="17"/>
        <v>0</v>
      </c>
      <c r="J69" s="58">
        <f ca="1" t="shared" si="17"/>
        <v>0</v>
      </c>
      <c r="K69" s="58">
        <f ca="1" t="shared" si="17"/>
        <v>0</v>
      </c>
      <c r="L69" s="261">
        <f ca="1" t="shared" si="17"/>
        <v>0</v>
      </c>
    </row>
    <row r="70" spans="1:12">
      <c r="A70" s="237" t="s">
        <v>221</v>
      </c>
      <c r="B70" s="80"/>
      <c r="C70" s="43">
        <f>+IF((AND(C69&gt;0,C69&gt;=($B$63*$B$67))),$B$63*-$B$67,0)</f>
        <v>0</v>
      </c>
      <c r="D70" s="43">
        <f ca="1" t="shared" ref="D70:L70" si="18">+IF((AND(D69&gt;0,D69&gt;=($B$63*$B$67))),$B$63*-$B$67,0)</f>
        <v>0</v>
      </c>
      <c r="E70" s="43">
        <f ca="1" t="shared" si="18"/>
        <v>0</v>
      </c>
      <c r="F70" s="43">
        <f ca="1" t="shared" si="18"/>
        <v>0</v>
      </c>
      <c r="G70" s="43">
        <f ca="1" t="shared" si="18"/>
        <v>0</v>
      </c>
      <c r="H70" s="43">
        <f ca="1" t="shared" si="18"/>
        <v>0</v>
      </c>
      <c r="I70" s="43">
        <f ca="1" t="shared" si="18"/>
        <v>0</v>
      </c>
      <c r="J70" s="43">
        <f ca="1" t="shared" si="18"/>
        <v>0</v>
      </c>
      <c r="K70" s="43">
        <f ca="1" t="shared" si="18"/>
        <v>0</v>
      </c>
      <c r="L70" s="265">
        <f ca="1" t="shared" si="18"/>
        <v>0</v>
      </c>
    </row>
    <row r="71" spans="1:12">
      <c r="A71" s="237" t="s">
        <v>222</v>
      </c>
      <c r="B71" s="80"/>
      <c r="C71" s="83">
        <f ca="1">IF(TS!$P$16=1,-MIN(C15+C25+C41+C56,C69+C70),0)</f>
        <v>0</v>
      </c>
      <c r="D71" s="83">
        <f ca="1">IF(TS!$P$16=1,-MIN(D15+D25+D41+D56,D69+D70),0)</f>
        <v>0</v>
      </c>
      <c r="E71" s="83">
        <f ca="1">IF(TS!$P$16=1,-MIN(E15+E25+E41+E56,E69+E70),0)</f>
        <v>0</v>
      </c>
      <c r="F71" s="83">
        <f ca="1">IF(TS!$P$16=1,-MIN(F15+F25+F41+F56,F69+F70),0)</f>
        <v>0</v>
      </c>
      <c r="G71" s="83">
        <f ca="1">IF(TS!$P$16=1,-MIN(G15+G25+G41+G56,G69+G70),0)</f>
        <v>0</v>
      </c>
      <c r="H71" s="83">
        <f ca="1">IF(TS!$P$16=1,-MIN(H15+H25+H41+H56,H69+H70),0)</f>
        <v>0</v>
      </c>
      <c r="I71" s="83">
        <f ca="1">IF(TS!$P$16=1,-MIN(I15+I25+I41+I56,I69+I70),0)</f>
        <v>0</v>
      </c>
      <c r="J71" s="83">
        <f ca="1">IF(TS!$P$16=1,-MIN(J15+J25+J41+J56,J69+J70),0)</f>
        <v>0</v>
      </c>
      <c r="K71" s="83">
        <f ca="1">IF(TS!$P$16=1,-MIN(K15+K25+K41+K56,K69+K70),0)</f>
        <v>0</v>
      </c>
      <c r="L71" s="262">
        <f ca="1">IF(TS!$P$16=1,-MIN(L15+L25+L41+L56,L69+L70),0)</f>
        <v>0</v>
      </c>
    </row>
    <row r="72" spans="1:12">
      <c r="A72" s="241" t="s">
        <v>215</v>
      </c>
      <c r="B72" s="80"/>
      <c r="C72" s="242">
        <f ca="1" t="shared" ref="C72:L72" si="19">SUM(C69:C71)</f>
        <v>0</v>
      </c>
      <c r="D72" s="242">
        <f ca="1" t="shared" si="19"/>
        <v>0</v>
      </c>
      <c r="E72" s="242">
        <f ca="1" t="shared" si="19"/>
        <v>0</v>
      </c>
      <c r="F72" s="242">
        <f ca="1" t="shared" si="19"/>
        <v>0</v>
      </c>
      <c r="G72" s="242">
        <f ca="1" t="shared" si="19"/>
        <v>0</v>
      </c>
      <c r="H72" s="242">
        <f ca="1" t="shared" si="19"/>
        <v>0</v>
      </c>
      <c r="I72" s="242">
        <f ca="1" t="shared" si="19"/>
        <v>0</v>
      </c>
      <c r="J72" s="242">
        <f ca="1" t="shared" si="19"/>
        <v>0</v>
      </c>
      <c r="K72" s="242">
        <f ca="1" t="shared" si="19"/>
        <v>0</v>
      </c>
      <c r="L72" s="263">
        <f ca="1" t="shared" si="19"/>
        <v>0</v>
      </c>
    </row>
    <row r="73" spans="1:12">
      <c r="A73" s="241"/>
      <c r="B73" s="80"/>
      <c r="C73" s="253"/>
      <c r="D73" s="253"/>
      <c r="E73" s="253"/>
      <c r="F73" s="253"/>
      <c r="G73" s="253"/>
      <c r="H73" s="253"/>
      <c r="I73" s="253"/>
      <c r="J73" s="253"/>
      <c r="K73" s="253"/>
      <c r="L73" s="267"/>
    </row>
    <row r="74" spans="1:12">
      <c r="A74" s="237" t="s">
        <v>216</v>
      </c>
      <c r="B74" s="80"/>
      <c r="C74" s="243">
        <f>+IF($B$65&gt;C7,$B$65,C7)+$B$64</f>
        <v>0</v>
      </c>
      <c r="D74" s="243">
        <f t="shared" ref="D74:L74" si="20">+IF($B$65&gt;D7,$B$65,D7)+$B$64</f>
        <v>0</v>
      </c>
      <c r="E74" s="243">
        <f t="shared" si="20"/>
        <v>0</v>
      </c>
      <c r="F74" s="243">
        <f t="shared" si="20"/>
        <v>0</v>
      </c>
      <c r="G74" s="243">
        <f t="shared" si="20"/>
        <v>0</v>
      </c>
      <c r="H74" s="243">
        <f t="shared" si="20"/>
        <v>0</v>
      </c>
      <c r="I74" s="243">
        <f t="shared" si="20"/>
        <v>0</v>
      </c>
      <c r="J74" s="243">
        <f t="shared" si="20"/>
        <v>0</v>
      </c>
      <c r="K74" s="243">
        <f t="shared" si="20"/>
        <v>0</v>
      </c>
      <c r="L74" s="264">
        <f t="shared" si="20"/>
        <v>0</v>
      </c>
    </row>
    <row r="75" spans="1:12">
      <c r="A75" s="244" t="s">
        <v>104</v>
      </c>
      <c r="B75" s="245"/>
      <c r="C75" s="83">
        <f ca="1">IF(TS!$P$18=1,C74*AVERAGE(C69,C72),C74*C72)</f>
        <v>0</v>
      </c>
      <c r="D75" s="83">
        <f ca="1">IF(TS!$P$18=1,D74*AVERAGE(D69,D72),D74*D72)</f>
        <v>0</v>
      </c>
      <c r="E75" s="83">
        <f ca="1">IF(TS!$P$18=1,E74*AVERAGE(E69,E72),E74*E72)</f>
        <v>0</v>
      </c>
      <c r="F75" s="83">
        <f ca="1">IF(TS!$P$18=1,F74*AVERAGE(F69,F72),F74*F72)</f>
        <v>0</v>
      </c>
      <c r="G75" s="83">
        <f ca="1">IF(TS!$P$18=1,G74*AVERAGE(G69,G72),G74*G72)</f>
        <v>0</v>
      </c>
      <c r="H75" s="83">
        <f ca="1">IF(TS!$P$18=1,H74*AVERAGE(H69,H72),H74*H72)</f>
        <v>0</v>
      </c>
      <c r="I75" s="83">
        <f ca="1">IF(TS!$P$18=1,I74*AVERAGE(I69,I72),I74*I72)</f>
        <v>0</v>
      </c>
      <c r="J75" s="83">
        <f ca="1">IF(TS!$P$18=1,J74*AVERAGE(J69,J72),J74*J72)</f>
        <v>0</v>
      </c>
      <c r="K75" s="83">
        <f ca="1">IF(TS!$P$18=1,K74*AVERAGE(K69,K72),K74*K72)</f>
        <v>0</v>
      </c>
      <c r="L75" s="262">
        <f ca="1">IF(TS!$P$18=1,L74*AVERAGE(L69,L72),L74*L72)</f>
        <v>0</v>
      </c>
    </row>
    <row r="76" spans="1:12">
      <c r="A76" s="96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</row>
    <row r="77" spans="1:12">
      <c r="A77" s="248" t="s">
        <v>226</v>
      </c>
      <c r="B77" s="246"/>
      <c r="C77" s="249"/>
      <c r="D77" s="249"/>
      <c r="E77" s="249"/>
      <c r="F77" s="249"/>
      <c r="G77" s="249"/>
      <c r="H77" s="249"/>
      <c r="I77" s="249"/>
      <c r="J77" s="249"/>
      <c r="K77" s="249"/>
      <c r="L77" s="249"/>
    </row>
    <row r="78" spans="1:12">
      <c r="A78" s="234" t="s">
        <v>219</v>
      </c>
      <c r="B78" s="235">
        <v>0</v>
      </c>
      <c r="C78" s="236"/>
      <c r="D78" s="236"/>
      <c r="E78" s="236"/>
      <c r="F78" s="236"/>
      <c r="G78" s="236"/>
      <c r="H78" s="236"/>
      <c r="I78" s="236"/>
      <c r="J78" s="236"/>
      <c r="K78" s="236"/>
      <c r="L78" s="259"/>
    </row>
    <row r="79" spans="1:12">
      <c r="A79" s="237" t="s">
        <v>209</v>
      </c>
      <c r="B79" s="238">
        <v>0</v>
      </c>
      <c r="C79" s="239"/>
      <c r="D79" s="239"/>
      <c r="E79" s="239"/>
      <c r="F79" s="239"/>
      <c r="G79" s="239"/>
      <c r="H79" s="239"/>
      <c r="I79" s="239"/>
      <c r="J79" s="239"/>
      <c r="K79" s="239"/>
      <c r="L79" s="260"/>
    </row>
    <row r="80" spans="1:12">
      <c r="A80" s="237" t="s">
        <v>210</v>
      </c>
      <c r="B80" s="238">
        <v>0</v>
      </c>
      <c r="C80" s="239"/>
      <c r="D80" s="239"/>
      <c r="E80" s="239"/>
      <c r="F80" s="239"/>
      <c r="G80" s="239"/>
      <c r="H80" s="239"/>
      <c r="I80" s="239"/>
      <c r="J80" s="239"/>
      <c r="K80" s="239"/>
      <c r="L80" s="260"/>
    </row>
    <row r="81" spans="1:12">
      <c r="A81" s="237" t="s">
        <v>227</v>
      </c>
      <c r="B81" s="240">
        <v>0</v>
      </c>
      <c r="C81" s="239"/>
      <c r="D81" s="239"/>
      <c r="E81" s="239"/>
      <c r="F81" s="239"/>
      <c r="G81" s="239"/>
      <c r="H81" s="239"/>
      <c r="I81" s="239"/>
      <c r="J81" s="239"/>
      <c r="K81" s="239"/>
      <c r="L81" s="260"/>
    </row>
    <row r="82" spans="1:12">
      <c r="A82" s="237" t="s">
        <v>220</v>
      </c>
      <c r="B82" s="251">
        <v>0</v>
      </c>
      <c r="C82" s="255" t="s">
        <v>224</v>
      </c>
      <c r="D82" s="256"/>
      <c r="E82" s="257"/>
      <c r="F82" s="239"/>
      <c r="G82" s="239"/>
      <c r="H82" s="239"/>
      <c r="I82" s="239"/>
      <c r="J82" s="239"/>
      <c r="K82" s="239"/>
      <c r="L82" s="260"/>
    </row>
    <row r="83" spans="1:12">
      <c r="A83" s="237"/>
      <c r="B83" s="80"/>
      <c r="C83" s="239"/>
      <c r="D83" s="239"/>
      <c r="E83" s="239"/>
      <c r="F83" s="239"/>
      <c r="G83" s="239"/>
      <c r="H83" s="239"/>
      <c r="I83" s="239"/>
      <c r="J83" s="239"/>
      <c r="K83" s="239"/>
      <c r="L83" s="260"/>
    </row>
    <row r="84" spans="1:12">
      <c r="A84" s="237" t="s">
        <v>213</v>
      </c>
      <c r="B84" s="80"/>
      <c r="C84" s="58">
        <f>BS!E29</f>
        <v>0</v>
      </c>
      <c r="D84" s="58">
        <f ca="1" t="shared" ref="D84:L84" si="21">+C87</f>
        <v>0</v>
      </c>
      <c r="E84" s="58">
        <f ca="1" t="shared" si="21"/>
        <v>0</v>
      </c>
      <c r="F84" s="58">
        <f ca="1" t="shared" si="21"/>
        <v>0</v>
      </c>
      <c r="G84" s="58">
        <f ca="1" t="shared" si="21"/>
        <v>0</v>
      </c>
      <c r="H84" s="58">
        <f ca="1" t="shared" si="21"/>
        <v>0</v>
      </c>
      <c r="I84" s="58">
        <f ca="1" t="shared" si="21"/>
        <v>0</v>
      </c>
      <c r="J84" s="58">
        <f ca="1" t="shared" si="21"/>
        <v>0</v>
      </c>
      <c r="K84" s="58">
        <f ca="1" t="shared" si="21"/>
        <v>0</v>
      </c>
      <c r="L84" s="261">
        <f ca="1" t="shared" si="21"/>
        <v>0</v>
      </c>
    </row>
    <row r="85" spans="1:12">
      <c r="A85" s="237" t="s">
        <v>221</v>
      </c>
      <c r="B85" s="80"/>
      <c r="C85" s="43">
        <f>+IF((AND(C84&gt;0,C84&gt;=($B$78*$B$82))),$B$78*-$B$82,0)</f>
        <v>0</v>
      </c>
      <c r="D85" s="43">
        <f ca="1" t="shared" ref="D85:L85" si="22">+IF((AND(D84&gt;0,D84&gt;=($B$78*$B$82))),$B$78*-$B$82,0)</f>
        <v>0</v>
      </c>
      <c r="E85" s="43">
        <f ca="1" t="shared" si="22"/>
        <v>0</v>
      </c>
      <c r="F85" s="43">
        <f ca="1" t="shared" si="22"/>
        <v>0</v>
      </c>
      <c r="G85" s="43">
        <f ca="1" t="shared" si="22"/>
        <v>0</v>
      </c>
      <c r="H85" s="43">
        <f ca="1" t="shared" si="22"/>
        <v>0</v>
      </c>
      <c r="I85" s="43">
        <f ca="1" t="shared" si="22"/>
        <v>0</v>
      </c>
      <c r="J85" s="43">
        <f ca="1" t="shared" si="22"/>
        <v>0</v>
      </c>
      <c r="K85" s="43">
        <f ca="1" t="shared" si="22"/>
        <v>0</v>
      </c>
      <c r="L85" s="265">
        <f ca="1" t="shared" si="22"/>
        <v>0</v>
      </c>
    </row>
    <row r="86" spans="1:12">
      <c r="A86" s="237" t="s">
        <v>222</v>
      </c>
      <c r="B86" s="80"/>
      <c r="C86" s="83">
        <f ca="1">IF(TS!$P$16=1,-MIN(C15+C25+C41+C56+C71,C84+C85),0)</f>
        <v>0</v>
      </c>
      <c r="D86" s="83">
        <f ca="1">IF(TS!$P$16=1,-MIN(D15+D25+D41+D56+D71,D84+D85),0)</f>
        <v>0</v>
      </c>
      <c r="E86" s="83">
        <f ca="1">IF(TS!$P$16=1,-MIN(E15+E25+E41+E56+E71,E84+E85),0)</f>
        <v>0</v>
      </c>
      <c r="F86" s="83">
        <f ca="1">IF(TS!$P$16=1,-MIN(F15+F25+F41+F56+F71,F84+F85),0)</f>
        <v>0</v>
      </c>
      <c r="G86" s="83">
        <f ca="1">IF(TS!$P$16=1,-MIN(G15+G25+G41+G56+G71,G84+G85),0)</f>
        <v>0</v>
      </c>
      <c r="H86" s="83">
        <f ca="1">IF(TS!$P$16=1,-MIN(H15+H25+H41+H56+H71,H84+H85),0)</f>
        <v>0</v>
      </c>
      <c r="I86" s="83">
        <f ca="1">IF(TS!$P$16=1,-MIN(I15+I25+I41+I56+I71,I84+I85),0)</f>
        <v>0</v>
      </c>
      <c r="J86" s="83">
        <f ca="1">IF(TS!$P$16=1,-MIN(J15+J25+J41+J56+J71,J84+J85),0)</f>
        <v>0</v>
      </c>
      <c r="K86" s="83">
        <f ca="1">IF(TS!$P$16=1,-MIN(K15+K25+K41+K56+K71,K84+K85),0)</f>
        <v>0</v>
      </c>
      <c r="L86" s="262">
        <f ca="1">IF(TS!$P$16=1,-MIN(L15+L25+L41+L56+L71,L84+L85),0)</f>
        <v>0</v>
      </c>
    </row>
    <row r="87" spans="1:12">
      <c r="A87" s="241" t="s">
        <v>215</v>
      </c>
      <c r="B87" s="80"/>
      <c r="C87" s="242">
        <f ca="1" t="shared" ref="C87:L87" si="23">SUM(C84:C86)</f>
        <v>0</v>
      </c>
      <c r="D87" s="242">
        <f ca="1" t="shared" si="23"/>
        <v>0</v>
      </c>
      <c r="E87" s="242">
        <f ca="1" t="shared" si="23"/>
        <v>0</v>
      </c>
      <c r="F87" s="242">
        <f ca="1" t="shared" si="23"/>
        <v>0</v>
      </c>
      <c r="G87" s="242">
        <f ca="1" t="shared" si="23"/>
        <v>0</v>
      </c>
      <c r="H87" s="242">
        <f ca="1" t="shared" si="23"/>
        <v>0</v>
      </c>
      <c r="I87" s="242">
        <f ca="1" t="shared" si="23"/>
        <v>0</v>
      </c>
      <c r="J87" s="242">
        <f ca="1" t="shared" si="23"/>
        <v>0</v>
      </c>
      <c r="K87" s="242">
        <f ca="1" t="shared" si="23"/>
        <v>0</v>
      </c>
      <c r="L87" s="263">
        <f ca="1" t="shared" si="23"/>
        <v>0</v>
      </c>
    </row>
    <row r="88" spans="1:12">
      <c r="A88" s="241"/>
      <c r="B88" s="80"/>
      <c r="C88" s="253"/>
      <c r="D88" s="253"/>
      <c r="E88" s="253"/>
      <c r="F88" s="253"/>
      <c r="G88" s="253"/>
      <c r="H88" s="253"/>
      <c r="I88" s="253"/>
      <c r="J88" s="253"/>
      <c r="K88" s="253"/>
      <c r="L88" s="267"/>
    </row>
    <row r="89" spans="1:12">
      <c r="A89" s="237" t="s">
        <v>216</v>
      </c>
      <c r="B89" s="80"/>
      <c r="C89" s="243">
        <f>+IF($B$80&gt;C7,$B$80,C7)+$B$79</f>
        <v>0</v>
      </c>
      <c r="D89" s="243">
        <f t="shared" ref="D89:L89" si="24">+IF($B$80&gt;D7,$B$80,D7)+$B$79</f>
        <v>0</v>
      </c>
      <c r="E89" s="243">
        <f t="shared" si="24"/>
        <v>0</v>
      </c>
      <c r="F89" s="243">
        <f t="shared" si="24"/>
        <v>0</v>
      </c>
      <c r="G89" s="243">
        <f t="shared" si="24"/>
        <v>0</v>
      </c>
      <c r="H89" s="243">
        <f t="shared" si="24"/>
        <v>0</v>
      </c>
      <c r="I89" s="243">
        <f t="shared" si="24"/>
        <v>0</v>
      </c>
      <c r="J89" s="243">
        <f t="shared" si="24"/>
        <v>0</v>
      </c>
      <c r="K89" s="243">
        <f t="shared" si="24"/>
        <v>0</v>
      </c>
      <c r="L89" s="264">
        <f t="shared" si="24"/>
        <v>0</v>
      </c>
    </row>
    <row r="90" spans="1:12">
      <c r="A90" s="244" t="s">
        <v>104</v>
      </c>
      <c r="B90" s="245"/>
      <c r="C90" s="83">
        <f ca="1">IF(TS!$P$14=5,0,C89*AVERAGE(C84,C87))</f>
        <v>0</v>
      </c>
      <c r="D90" s="83">
        <f ca="1">IF(TS!$P$14=5,0,D89*AVERAGE(D84,D87))</f>
        <v>0</v>
      </c>
      <c r="E90" s="83">
        <f ca="1">IF(TS!$P$14=5,0,E89*AVERAGE(E84,E87))</f>
        <v>0</v>
      </c>
      <c r="F90" s="83">
        <f ca="1">IF(TS!$P$14=5,0,F89*AVERAGE(F84,F87))</f>
        <v>0</v>
      </c>
      <c r="G90" s="83">
        <f ca="1">IF(TS!$P$14=5,0,G89*AVERAGE(G84,G87))</f>
        <v>0</v>
      </c>
      <c r="H90" s="83">
        <f ca="1">IF(TS!$P$14=5,0,H89*AVERAGE(H84,H87))</f>
        <v>0</v>
      </c>
      <c r="I90" s="83">
        <f ca="1">IF(TS!$P$14=5,0,I89*AVERAGE(I84,I87))</f>
        <v>0</v>
      </c>
      <c r="J90" s="83">
        <f ca="1">IF(TS!$P$14=5,0,J89*AVERAGE(J84,J87))</f>
        <v>0</v>
      </c>
      <c r="K90" s="83">
        <f ca="1">IF(TS!$P$14=5,0,K89*AVERAGE(K84,K87))</f>
        <v>0</v>
      </c>
      <c r="L90" s="262">
        <f ca="1">IF(TS!$P$14=5,0,L89*AVERAGE(L84,L87))</f>
        <v>0</v>
      </c>
    </row>
    <row r="91" spans="1:12">
      <c r="A91" s="246"/>
      <c r="B91" s="246"/>
      <c r="C91" s="268"/>
      <c r="D91" s="246"/>
      <c r="E91" s="246"/>
      <c r="F91" s="246"/>
      <c r="G91" s="246"/>
      <c r="H91" s="246"/>
      <c r="I91" s="246"/>
      <c r="J91" s="246"/>
      <c r="K91" s="246"/>
      <c r="L91" s="246"/>
    </row>
    <row r="92" spans="1:12">
      <c r="A92" s="232" t="s">
        <v>33</v>
      </c>
      <c r="B92" s="219"/>
      <c r="C92" s="219"/>
      <c r="D92" s="219"/>
      <c r="E92" s="219"/>
      <c r="F92" s="219"/>
      <c r="G92" s="219"/>
      <c r="H92" s="219"/>
      <c r="I92" s="219"/>
      <c r="J92" s="219"/>
      <c r="K92" s="274"/>
      <c r="L92" s="219"/>
    </row>
    <row r="93" spans="1:12">
      <c r="A93" s="234" t="s">
        <v>219</v>
      </c>
      <c r="B93" s="235">
        <f>TS!B13</f>
        <v>0</v>
      </c>
      <c r="C93" s="269"/>
      <c r="D93" s="269"/>
      <c r="E93" s="269"/>
      <c r="F93" s="269"/>
      <c r="G93" s="269"/>
      <c r="H93" s="269"/>
      <c r="I93" s="269"/>
      <c r="J93" s="269"/>
      <c r="K93" s="269"/>
      <c r="L93" s="275"/>
    </row>
    <row r="94" spans="1:12">
      <c r="A94" s="237" t="s">
        <v>209</v>
      </c>
      <c r="B94" s="238">
        <v>0</v>
      </c>
      <c r="C94" s="80"/>
      <c r="D94" s="80"/>
      <c r="E94" s="80"/>
      <c r="F94" s="80"/>
      <c r="G94" s="80"/>
      <c r="H94" s="80"/>
      <c r="I94" s="80"/>
      <c r="J94" s="80"/>
      <c r="K94" s="80"/>
      <c r="L94" s="276"/>
    </row>
    <row r="95" spans="1:12">
      <c r="A95" s="237" t="s">
        <v>210</v>
      </c>
      <c r="B95" s="238">
        <v>0</v>
      </c>
      <c r="C95" s="239"/>
      <c r="D95" s="239"/>
      <c r="E95" s="239"/>
      <c r="F95" s="239"/>
      <c r="G95" s="239"/>
      <c r="H95" s="239"/>
      <c r="I95" s="239"/>
      <c r="J95" s="239"/>
      <c r="K95" s="239"/>
      <c r="L95" s="260"/>
    </row>
    <row r="96" spans="1:12">
      <c r="A96" s="237" t="s">
        <v>211</v>
      </c>
      <c r="B96" s="240">
        <v>0</v>
      </c>
      <c r="C96" s="80"/>
      <c r="D96" s="80"/>
      <c r="E96" s="80"/>
      <c r="F96" s="80"/>
      <c r="G96" s="80"/>
      <c r="H96" s="80"/>
      <c r="I96" s="80"/>
      <c r="J96" s="80"/>
      <c r="K96" s="80"/>
      <c r="L96" s="276"/>
    </row>
    <row r="97" spans="1:12">
      <c r="A97" s="237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276"/>
    </row>
    <row r="98" spans="1:12">
      <c r="A98" s="237" t="s">
        <v>213</v>
      </c>
      <c r="B98" s="80"/>
      <c r="C98" s="58">
        <f>+BS!E30</f>
        <v>0</v>
      </c>
      <c r="D98" s="58">
        <f t="shared" ref="D98:L98" si="25">+C100</f>
        <v>0</v>
      </c>
      <c r="E98" s="58">
        <f t="shared" si="25"/>
        <v>0</v>
      </c>
      <c r="F98" s="58">
        <f t="shared" si="25"/>
        <v>0</v>
      </c>
      <c r="G98" s="58">
        <f t="shared" si="25"/>
        <v>0</v>
      </c>
      <c r="H98" s="58">
        <f t="shared" si="25"/>
        <v>0</v>
      </c>
      <c r="I98" s="58">
        <f t="shared" si="25"/>
        <v>0</v>
      </c>
      <c r="J98" s="58">
        <f t="shared" si="25"/>
        <v>0</v>
      </c>
      <c r="K98" s="58">
        <f t="shared" si="25"/>
        <v>0</v>
      </c>
      <c r="L98" s="261">
        <f t="shared" si="25"/>
        <v>0</v>
      </c>
    </row>
    <row r="99" spans="1:12">
      <c r="A99" s="237" t="s">
        <v>228</v>
      </c>
      <c r="B99" s="80"/>
      <c r="C99" s="270">
        <v>0</v>
      </c>
      <c r="D99" s="270">
        <v>0</v>
      </c>
      <c r="E99" s="270">
        <v>0</v>
      </c>
      <c r="F99" s="270">
        <v>0</v>
      </c>
      <c r="G99" s="270">
        <v>0</v>
      </c>
      <c r="H99" s="270">
        <v>0</v>
      </c>
      <c r="I99" s="270">
        <v>0</v>
      </c>
      <c r="J99" s="270">
        <v>0</v>
      </c>
      <c r="K99" s="270">
        <v>0</v>
      </c>
      <c r="L99" s="277">
        <v>0</v>
      </c>
    </row>
    <row r="100" spans="1:12">
      <c r="A100" s="241" t="s">
        <v>215</v>
      </c>
      <c r="B100" s="80"/>
      <c r="C100" s="242">
        <f t="shared" ref="C100:L100" si="26">SUM(C98:C99)</f>
        <v>0</v>
      </c>
      <c r="D100" s="242">
        <f t="shared" si="26"/>
        <v>0</v>
      </c>
      <c r="E100" s="242">
        <f t="shared" si="26"/>
        <v>0</v>
      </c>
      <c r="F100" s="242">
        <f t="shared" si="26"/>
        <v>0</v>
      </c>
      <c r="G100" s="242">
        <f t="shared" si="26"/>
        <v>0</v>
      </c>
      <c r="H100" s="242">
        <f t="shared" si="26"/>
        <v>0</v>
      </c>
      <c r="I100" s="242">
        <f t="shared" si="26"/>
        <v>0</v>
      </c>
      <c r="J100" s="242">
        <f t="shared" si="26"/>
        <v>0</v>
      </c>
      <c r="K100" s="242">
        <f t="shared" si="26"/>
        <v>0</v>
      </c>
      <c r="L100" s="263">
        <f t="shared" si="26"/>
        <v>0</v>
      </c>
    </row>
    <row r="101" spans="1:12">
      <c r="A101" s="241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276"/>
    </row>
    <row r="102" spans="1:12">
      <c r="A102" s="237" t="s">
        <v>216</v>
      </c>
      <c r="B102" s="271"/>
      <c r="C102" s="243">
        <f>+IF($B$95&gt;C7,$B$95,C7)+$B$94</f>
        <v>0</v>
      </c>
      <c r="D102" s="243">
        <f t="shared" ref="D102:L102" si="27">+IF($B$95&gt;D7,$B$95,D7)+$B$94</f>
        <v>0</v>
      </c>
      <c r="E102" s="243">
        <f t="shared" si="27"/>
        <v>0</v>
      </c>
      <c r="F102" s="243">
        <f t="shared" si="27"/>
        <v>0</v>
      </c>
      <c r="G102" s="243">
        <f t="shared" si="27"/>
        <v>0</v>
      </c>
      <c r="H102" s="243">
        <f t="shared" si="27"/>
        <v>0</v>
      </c>
      <c r="I102" s="243">
        <f t="shared" si="27"/>
        <v>0</v>
      </c>
      <c r="J102" s="243">
        <f t="shared" si="27"/>
        <v>0</v>
      </c>
      <c r="K102" s="243">
        <f t="shared" si="27"/>
        <v>0</v>
      </c>
      <c r="L102" s="264">
        <f t="shared" si="27"/>
        <v>0</v>
      </c>
    </row>
    <row r="103" spans="1:12">
      <c r="A103" s="244" t="s">
        <v>104</v>
      </c>
      <c r="B103" s="272"/>
      <c r="C103" s="83">
        <f>IF(TS!$P$18=1,C102*AVERAGE(C98,C100),C102*C100)</f>
        <v>0</v>
      </c>
      <c r="D103" s="83">
        <f>IF(TS!$P$18=1,D102*AVERAGE(D98,D100),D102*D100)</f>
        <v>0</v>
      </c>
      <c r="E103" s="83">
        <f>IF(TS!$P$18=1,E102*AVERAGE(E98,E100),E102*E100)</f>
        <v>0</v>
      </c>
      <c r="F103" s="83">
        <f>IF(TS!$P$18=1,F102*AVERAGE(F98,F100),F102*F100)</f>
        <v>0</v>
      </c>
      <c r="G103" s="83">
        <f>IF(TS!$P$18=1,G102*AVERAGE(G98,G100),G102*G100)</f>
        <v>0</v>
      </c>
      <c r="H103" s="83">
        <f>IF(TS!$P$18=1,H102*AVERAGE(H98,H100),H102*H100)</f>
        <v>0</v>
      </c>
      <c r="I103" s="83">
        <f>IF(TS!$P$18=1,I102*AVERAGE(I98,I100),I102*I100)</f>
        <v>0</v>
      </c>
      <c r="J103" s="83">
        <f>IF(TS!$P$18=1,J102*AVERAGE(J98,J100),J102*J100)</f>
        <v>0</v>
      </c>
      <c r="K103" s="83">
        <f>IF(TS!$P$18=1,K102*AVERAGE(K98,K100),K102*K100)</f>
        <v>0</v>
      </c>
      <c r="L103" s="262">
        <f>IF(TS!$P$18=1,L102*AVERAGE(L98,L100),L102*L100)</f>
        <v>0</v>
      </c>
    </row>
    <row r="104" spans="1:12">
      <c r="A104" s="246"/>
      <c r="B104" s="246"/>
      <c r="C104" s="268"/>
      <c r="D104" s="246"/>
      <c r="E104" s="246"/>
      <c r="F104" s="246"/>
      <c r="G104" s="246"/>
      <c r="H104" s="246"/>
      <c r="I104" s="246"/>
      <c r="J104" s="246"/>
      <c r="K104" s="246"/>
      <c r="L104" s="246"/>
    </row>
    <row r="105" spans="1:12">
      <c r="A105" s="232" t="s">
        <v>37</v>
      </c>
      <c r="B105" s="219"/>
      <c r="C105" s="219"/>
      <c r="D105" s="219"/>
      <c r="E105" s="219"/>
      <c r="F105" s="219"/>
      <c r="G105" s="219"/>
      <c r="H105" s="219"/>
      <c r="I105" s="219"/>
      <c r="J105" s="219"/>
      <c r="K105" s="274"/>
      <c r="L105" s="219"/>
    </row>
    <row r="106" spans="1:12">
      <c r="A106" s="234" t="s">
        <v>219</v>
      </c>
      <c r="B106" s="235">
        <f>TS!B14</f>
        <v>0</v>
      </c>
      <c r="C106" s="269"/>
      <c r="D106" s="269"/>
      <c r="E106" s="269"/>
      <c r="F106" s="269"/>
      <c r="G106" s="269"/>
      <c r="H106" s="269"/>
      <c r="I106" s="269"/>
      <c r="J106" s="269"/>
      <c r="K106" s="269"/>
      <c r="L106" s="275"/>
    </row>
    <row r="107" spans="1:12">
      <c r="A107" s="237" t="s">
        <v>229</v>
      </c>
      <c r="B107" s="238">
        <v>0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276"/>
    </row>
    <row r="108" spans="1:12">
      <c r="A108" s="237" t="s">
        <v>211</v>
      </c>
      <c r="B108" s="240">
        <v>0</v>
      </c>
      <c r="C108" s="80"/>
      <c r="D108" s="80"/>
      <c r="E108" s="80"/>
      <c r="F108" s="80"/>
      <c r="G108" s="80"/>
      <c r="H108" s="80"/>
      <c r="I108" s="80"/>
      <c r="J108" s="80"/>
      <c r="K108" s="80"/>
      <c r="L108" s="276"/>
    </row>
    <row r="109" spans="1:12">
      <c r="A109" s="237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276"/>
    </row>
    <row r="110" spans="1:12">
      <c r="A110" s="237" t="s">
        <v>213</v>
      </c>
      <c r="B110" s="80"/>
      <c r="C110" s="58">
        <f>+BS!E31</f>
        <v>0</v>
      </c>
      <c r="D110" s="58">
        <f t="shared" ref="D110:L110" si="28">+C112</f>
        <v>0</v>
      </c>
      <c r="E110" s="58">
        <f t="shared" si="28"/>
        <v>0</v>
      </c>
      <c r="F110" s="58">
        <f t="shared" si="28"/>
        <v>0</v>
      </c>
      <c r="G110" s="58">
        <f t="shared" si="28"/>
        <v>0</v>
      </c>
      <c r="H110" s="58">
        <f t="shared" si="28"/>
        <v>0</v>
      </c>
      <c r="I110" s="58">
        <f t="shared" si="28"/>
        <v>0</v>
      </c>
      <c r="J110" s="58">
        <f t="shared" si="28"/>
        <v>0</v>
      </c>
      <c r="K110" s="58">
        <f t="shared" si="28"/>
        <v>0</v>
      </c>
      <c r="L110" s="261">
        <f t="shared" si="28"/>
        <v>0</v>
      </c>
    </row>
    <row r="111" spans="1:12">
      <c r="A111" s="237" t="s">
        <v>228</v>
      </c>
      <c r="B111" s="80"/>
      <c r="C111" s="273">
        <f>+IF(C$6=$B$6+$B$108,-$B$106,0)</f>
        <v>0</v>
      </c>
      <c r="D111" s="273">
        <f t="shared" ref="D111:L111" si="29">+IF(D$6=$B$6+$B$108,-$B$106,0)</f>
        <v>0</v>
      </c>
      <c r="E111" s="273">
        <f t="shared" si="29"/>
        <v>0</v>
      </c>
      <c r="F111" s="273">
        <f t="shared" si="29"/>
        <v>0</v>
      </c>
      <c r="G111" s="273">
        <f t="shared" si="29"/>
        <v>0</v>
      </c>
      <c r="H111" s="273">
        <f t="shared" si="29"/>
        <v>0</v>
      </c>
      <c r="I111" s="273">
        <f t="shared" si="29"/>
        <v>0</v>
      </c>
      <c r="J111" s="273">
        <f t="shared" si="29"/>
        <v>0</v>
      </c>
      <c r="K111" s="273">
        <f t="shared" si="29"/>
        <v>0</v>
      </c>
      <c r="L111" s="278">
        <f t="shared" si="29"/>
        <v>0</v>
      </c>
    </row>
    <row r="112" spans="1:12">
      <c r="A112" s="241" t="s">
        <v>215</v>
      </c>
      <c r="B112" s="80"/>
      <c r="C112" s="242">
        <f t="shared" ref="C112:L112" si="30">SUM(C110:C111)</f>
        <v>0</v>
      </c>
      <c r="D112" s="242">
        <f t="shared" si="30"/>
        <v>0</v>
      </c>
      <c r="E112" s="242">
        <f t="shared" si="30"/>
        <v>0</v>
      </c>
      <c r="F112" s="242">
        <f t="shared" si="30"/>
        <v>0</v>
      </c>
      <c r="G112" s="242">
        <f t="shared" si="30"/>
        <v>0</v>
      </c>
      <c r="H112" s="242">
        <f t="shared" si="30"/>
        <v>0</v>
      </c>
      <c r="I112" s="242">
        <f t="shared" si="30"/>
        <v>0</v>
      </c>
      <c r="J112" s="242">
        <f t="shared" si="30"/>
        <v>0</v>
      </c>
      <c r="K112" s="242">
        <f t="shared" si="30"/>
        <v>0</v>
      </c>
      <c r="L112" s="263">
        <f t="shared" si="30"/>
        <v>0</v>
      </c>
    </row>
    <row r="113" spans="1:12">
      <c r="A113" s="241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276"/>
    </row>
    <row r="114" spans="1:12">
      <c r="A114" s="244" t="s">
        <v>104</v>
      </c>
      <c r="B114" s="272"/>
      <c r="C114" s="83">
        <f>+$B$107*(AVERAGE(C110,C112))</f>
        <v>0</v>
      </c>
      <c r="D114" s="83">
        <f t="shared" ref="D114:L114" si="31">+$B$107*(AVERAGE(D110,D112))</f>
        <v>0</v>
      </c>
      <c r="E114" s="83">
        <f t="shared" si="31"/>
        <v>0</v>
      </c>
      <c r="F114" s="83">
        <f t="shared" si="31"/>
        <v>0</v>
      </c>
      <c r="G114" s="83">
        <f t="shared" si="31"/>
        <v>0</v>
      </c>
      <c r="H114" s="83">
        <f t="shared" si="31"/>
        <v>0</v>
      </c>
      <c r="I114" s="83">
        <f t="shared" si="31"/>
        <v>0</v>
      </c>
      <c r="J114" s="83">
        <f t="shared" si="31"/>
        <v>0</v>
      </c>
      <c r="K114" s="83">
        <f t="shared" si="31"/>
        <v>0</v>
      </c>
      <c r="L114" s="262">
        <f t="shared" si="31"/>
        <v>0</v>
      </c>
    </row>
    <row r="115" spans="1:12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</row>
    <row r="116" spans="1:12">
      <c r="A116" s="232" t="s">
        <v>40</v>
      </c>
      <c r="B116" s="219"/>
      <c r="C116" s="219"/>
      <c r="D116" s="219"/>
      <c r="E116" s="219"/>
      <c r="F116" s="219"/>
      <c r="G116" s="219"/>
      <c r="H116" s="219"/>
      <c r="I116" s="219"/>
      <c r="J116" s="219"/>
      <c r="K116" s="274"/>
      <c r="L116" s="219"/>
    </row>
    <row r="117" spans="1:12">
      <c r="A117" s="234" t="s">
        <v>219</v>
      </c>
      <c r="B117" s="235">
        <f>TS!B15</f>
        <v>0</v>
      </c>
      <c r="C117" s="269"/>
      <c r="D117" s="269"/>
      <c r="E117" s="269"/>
      <c r="F117" s="269"/>
      <c r="G117" s="269"/>
      <c r="H117" s="269"/>
      <c r="I117" s="269"/>
      <c r="J117" s="269"/>
      <c r="K117" s="269"/>
      <c r="L117" s="275"/>
    </row>
    <row r="118" spans="1:12">
      <c r="A118" s="237" t="s">
        <v>229</v>
      </c>
      <c r="B118" s="238">
        <v>0</v>
      </c>
      <c r="C118" s="80"/>
      <c r="D118" s="80"/>
      <c r="E118" s="80"/>
      <c r="F118" s="80"/>
      <c r="G118" s="80"/>
      <c r="H118" s="80"/>
      <c r="I118" s="80"/>
      <c r="J118" s="80"/>
      <c r="K118" s="80"/>
      <c r="L118" s="276"/>
    </row>
    <row r="119" spans="1:12">
      <c r="A119" s="237" t="s">
        <v>211</v>
      </c>
      <c r="B119" s="240">
        <v>0</v>
      </c>
      <c r="C119" s="80"/>
      <c r="D119" s="80"/>
      <c r="E119" s="80"/>
      <c r="F119" s="80"/>
      <c r="G119" s="80"/>
      <c r="H119" s="80"/>
      <c r="I119" s="80"/>
      <c r="J119" s="80"/>
      <c r="K119" s="80"/>
      <c r="L119" s="276"/>
    </row>
    <row r="120" spans="1:12">
      <c r="A120" s="237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276"/>
    </row>
    <row r="121" spans="1:12">
      <c r="A121" s="237" t="s">
        <v>213</v>
      </c>
      <c r="B121" s="80"/>
      <c r="C121" s="58">
        <f>+BS!E33</f>
        <v>0</v>
      </c>
      <c r="D121" s="58">
        <f>+C123</f>
        <v>0</v>
      </c>
      <c r="E121" s="58">
        <f t="shared" ref="E121:L121" si="32">+D123</f>
        <v>0</v>
      </c>
      <c r="F121" s="58">
        <f t="shared" si="32"/>
        <v>0</v>
      </c>
      <c r="G121" s="58">
        <f t="shared" si="32"/>
        <v>0</v>
      </c>
      <c r="H121" s="58">
        <f t="shared" si="32"/>
        <v>0</v>
      </c>
      <c r="I121" s="58">
        <f t="shared" si="32"/>
        <v>0</v>
      </c>
      <c r="J121" s="58">
        <f t="shared" si="32"/>
        <v>0</v>
      </c>
      <c r="K121" s="58">
        <f t="shared" si="32"/>
        <v>0</v>
      </c>
      <c r="L121" s="261">
        <f t="shared" si="32"/>
        <v>0</v>
      </c>
    </row>
    <row r="122" spans="1:12">
      <c r="A122" s="237" t="s">
        <v>228</v>
      </c>
      <c r="B122" s="80"/>
      <c r="C122" s="273">
        <f>+IF(C$6=$B$6+$B$119,-$B$117,0)</f>
        <v>0</v>
      </c>
      <c r="D122" s="273">
        <f t="shared" ref="D122:L122" si="33">+IF(D$6=$B$6+$B$119,-$B$117,0)</f>
        <v>0</v>
      </c>
      <c r="E122" s="273">
        <f t="shared" si="33"/>
        <v>0</v>
      </c>
      <c r="F122" s="273">
        <f t="shared" si="33"/>
        <v>0</v>
      </c>
      <c r="G122" s="273">
        <f t="shared" si="33"/>
        <v>0</v>
      </c>
      <c r="H122" s="273">
        <f t="shared" si="33"/>
        <v>0</v>
      </c>
      <c r="I122" s="273">
        <f t="shared" si="33"/>
        <v>0</v>
      </c>
      <c r="J122" s="273">
        <f t="shared" si="33"/>
        <v>0</v>
      </c>
      <c r="K122" s="273">
        <f t="shared" si="33"/>
        <v>0</v>
      </c>
      <c r="L122" s="278">
        <f t="shared" si="33"/>
        <v>0</v>
      </c>
    </row>
    <row r="123" spans="1:12">
      <c r="A123" s="241" t="s">
        <v>215</v>
      </c>
      <c r="B123" s="80"/>
      <c r="C123" s="242">
        <f>SUM(C121:C122)</f>
        <v>0</v>
      </c>
      <c r="D123" s="242">
        <f t="shared" ref="D123:L123" si="34">SUM(D121:D122)</f>
        <v>0</v>
      </c>
      <c r="E123" s="242">
        <f t="shared" si="34"/>
        <v>0</v>
      </c>
      <c r="F123" s="242">
        <f t="shared" si="34"/>
        <v>0</v>
      </c>
      <c r="G123" s="242">
        <f t="shared" si="34"/>
        <v>0</v>
      </c>
      <c r="H123" s="242">
        <f t="shared" si="34"/>
        <v>0</v>
      </c>
      <c r="I123" s="242">
        <f t="shared" si="34"/>
        <v>0</v>
      </c>
      <c r="J123" s="242">
        <f t="shared" si="34"/>
        <v>0</v>
      </c>
      <c r="K123" s="242">
        <f t="shared" si="34"/>
        <v>0</v>
      </c>
      <c r="L123" s="263">
        <f t="shared" si="34"/>
        <v>0</v>
      </c>
    </row>
    <row r="124" spans="1:12">
      <c r="A124" s="241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276"/>
    </row>
    <row r="125" spans="1:12">
      <c r="A125" s="244" t="s">
        <v>104</v>
      </c>
      <c r="B125" s="272"/>
      <c r="C125" s="83">
        <f>+$B$118*(AVERAGE(C121,C123))</f>
        <v>0</v>
      </c>
      <c r="D125" s="83">
        <f t="shared" ref="D125:L125" si="35">+$B$118*(AVERAGE(D121,D123))</f>
        <v>0</v>
      </c>
      <c r="E125" s="83">
        <f t="shared" si="35"/>
        <v>0</v>
      </c>
      <c r="F125" s="83">
        <f t="shared" si="35"/>
        <v>0</v>
      </c>
      <c r="G125" s="83">
        <f t="shared" si="35"/>
        <v>0</v>
      </c>
      <c r="H125" s="83">
        <f t="shared" si="35"/>
        <v>0</v>
      </c>
      <c r="I125" s="83">
        <f t="shared" si="35"/>
        <v>0</v>
      </c>
      <c r="J125" s="83">
        <f t="shared" si="35"/>
        <v>0</v>
      </c>
      <c r="K125" s="83">
        <f t="shared" si="35"/>
        <v>0</v>
      </c>
      <c r="L125" s="262">
        <f t="shared" si="35"/>
        <v>0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Q45"/>
  <sheetViews>
    <sheetView topLeftCell="A34" workbookViewId="0">
      <selection activeCell="A1" sqref="A1:O44"/>
    </sheetView>
  </sheetViews>
  <sheetFormatPr defaultColWidth="8.81481481481481" defaultRowHeight="14.4"/>
  <cols>
    <col min="5" max="15" width="11.4537037037037" customWidth="1"/>
  </cols>
  <sheetData>
    <row r="1" ht="24.6" spans="1:15">
      <c r="A1" s="174" t="str">
        <f>+TS!A1</f>
        <v>Target_Co</v>
      </c>
      <c r="B1" s="175"/>
      <c r="C1" s="175"/>
      <c r="D1" s="175"/>
      <c r="E1" s="175"/>
      <c r="F1" s="175"/>
      <c r="G1" s="175"/>
      <c r="H1" s="175"/>
      <c r="I1" s="175"/>
      <c r="J1" s="175"/>
      <c r="K1" s="211"/>
      <c r="L1" s="211"/>
      <c r="M1" s="211"/>
      <c r="N1" s="211"/>
      <c r="O1" s="211"/>
    </row>
    <row r="2" ht="15.6" spans="1:15">
      <c r="A2" s="176" t="s">
        <v>230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5">
      <c r="A3" s="177" t="str">
        <f>+TS!A3</f>
        <v>($ in millions, fiscal year ending April 30)</v>
      </c>
      <c r="B3" s="175"/>
      <c r="C3" s="175"/>
      <c r="D3" s="175"/>
      <c r="E3" s="175"/>
      <c r="F3" s="175"/>
      <c r="G3" s="175"/>
      <c r="H3" s="178"/>
      <c r="I3" s="175"/>
      <c r="J3" s="212"/>
      <c r="K3" s="211"/>
      <c r="L3" s="211"/>
      <c r="M3" s="211"/>
      <c r="N3" s="211"/>
      <c r="O3" s="211"/>
    </row>
    <row r="4" spans="1:15">
      <c r="A4" s="179"/>
      <c r="B4" s="179"/>
      <c r="C4" s="179"/>
      <c r="D4" s="179"/>
      <c r="E4" s="179"/>
      <c r="F4" s="180" t="s">
        <v>55</v>
      </c>
      <c r="G4" s="181"/>
      <c r="H4" s="181"/>
      <c r="I4" s="181"/>
      <c r="J4" s="181"/>
      <c r="K4" s="181"/>
      <c r="L4" s="181"/>
      <c r="M4" s="181"/>
      <c r="N4" s="181"/>
      <c r="O4" s="180"/>
    </row>
    <row r="5" spans="1:15">
      <c r="A5" s="179"/>
      <c r="B5" s="179"/>
      <c r="C5" s="179"/>
      <c r="D5" s="182"/>
      <c r="E5" s="182" t="s">
        <v>57</v>
      </c>
      <c r="F5" s="106">
        <v>1</v>
      </c>
      <c r="G5" s="106">
        <v>2</v>
      </c>
      <c r="H5" s="106">
        <v>3</v>
      </c>
      <c r="I5" s="106">
        <v>4</v>
      </c>
      <c r="J5" s="106">
        <v>5</v>
      </c>
      <c r="K5" s="106">
        <v>6</v>
      </c>
      <c r="L5" s="106">
        <v>7</v>
      </c>
      <c r="M5" s="106">
        <v>8</v>
      </c>
      <c r="N5" s="106">
        <v>9</v>
      </c>
      <c r="O5" s="106">
        <v>10</v>
      </c>
    </row>
    <row r="6" spans="1:15">
      <c r="A6" s="179"/>
      <c r="B6" s="179"/>
      <c r="C6" s="179"/>
      <c r="D6" s="183"/>
      <c r="E6" s="107">
        <f>+TS!F24</f>
        <v>2024</v>
      </c>
      <c r="F6" s="107">
        <f>+TS!G24</f>
        <v>2025</v>
      </c>
      <c r="G6" s="107">
        <f>+TS!H24</f>
        <v>2026</v>
      </c>
      <c r="H6" s="107">
        <f>+TS!I24</f>
        <v>2027</v>
      </c>
      <c r="I6" s="107">
        <f>+TS!J24</f>
        <v>2028</v>
      </c>
      <c r="J6" s="107">
        <f>+TS!K24</f>
        <v>2029</v>
      </c>
      <c r="K6" s="107">
        <f>+TS!L24</f>
        <v>2030</v>
      </c>
      <c r="L6" s="107">
        <f>+TS!M24</f>
        <v>2031</v>
      </c>
      <c r="M6" s="107">
        <f>+TS!N24</f>
        <v>2032</v>
      </c>
      <c r="N6" s="107">
        <f>+TS!O24</f>
        <v>2033</v>
      </c>
      <c r="O6" s="107">
        <f>+TS!P24</f>
        <v>2034</v>
      </c>
    </row>
    <row r="7" spans="1:15">
      <c r="A7" s="179" t="s">
        <v>231</v>
      </c>
      <c r="B7" s="179"/>
      <c r="C7" s="179"/>
      <c r="D7" s="184">
        <f>+TS!P8</f>
        <v>0</v>
      </c>
      <c r="E7" s="185"/>
      <c r="F7" s="186"/>
      <c r="G7" s="186"/>
      <c r="H7" s="186"/>
      <c r="I7" s="186"/>
      <c r="J7" s="186"/>
      <c r="K7" s="186"/>
      <c r="L7" s="186"/>
      <c r="M7" s="186"/>
      <c r="N7" s="186"/>
      <c r="O7" s="186"/>
    </row>
    <row r="8" spans="1:15">
      <c r="A8" s="179" t="s">
        <v>232</v>
      </c>
      <c r="B8" s="179"/>
      <c r="C8" s="179"/>
      <c r="D8" s="187"/>
      <c r="E8" s="188">
        <f>+TS!B16</f>
        <v>3922.5912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</row>
    <row r="9" spans="1:15">
      <c r="A9" s="189" t="s">
        <v>233</v>
      </c>
      <c r="B9" s="179"/>
      <c r="C9" s="179"/>
      <c r="D9" s="179"/>
      <c r="E9" s="185"/>
      <c r="F9" s="188">
        <f>+IS!G18</f>
        <v>0</v>
      </c>
      <c r="G9" s="188">
        <f>+IS!H18</f>
        <v>0</v>
      </c>
      <c r="H9" s="188">
        <f>+IS!I18</f>
        <v>0</v>
      </c>
      <c r="I9" s="188">
        <f>+IS!J18</f>
        <v>0</v>
      </c>
      <c r="J9" s="188">
        <f>+IS!K18</f>
        <v>0</v>
      </c>
      <c r="K9" s="188">
        <f>+IS!L18</f>
        <v>0</v>
      </c>
      <c r="L9" s="188">
        <f>+IS!M18</f>
        <v>0</v>
      </c>
      <c r="M9" s="188">
        <f>+IS!N18</f>
        <v>0</v>
      </c>
      <c r="N9" s="188">
        <f>+IS!O18</f>
        <v>0</v>
      </c>
      <c r="O9" s="188">
        <f>+IS!P18</f>
        <v>0</v>
      </c>
    </row>
    <row r="10" spans="1:15">
      <c r="A10" s="179" t="s">
        <v>234</v>
      </c>
      <c r="B10" s="179"/>
      <c r="C10" s="179"/>
      <c r="D10" s="190">
        <f>D7</f>
        <v>0</v>
      </c>
      <c r="E10" s="185"/>
      <c r="F10" s="191" t="s">
        <v>48</v>
      </c>
      <c r="G10" s="191" t="s">
        <v>48</v>
      </c>
      <c r="H10" s="191" t="s">
        <v>48</v>
      </c>
      <c r="I10" s="191" t="s">
        <v>48</v>
      </c>
      <c r="J10" s="191" t="s">
        <v>48</v>
      </c>
      <c r="K10" s="191" t="s">
        <v>48</v>
      </c>
      <c r="L10" s="191" t="s">
        <v>48</v>
      </c>
      <c r="M10" s="191" t="s">
        <v>48</v>
      </c>
      <c r="N10" s="191" t="s">
        <v>48</v>
      </c>
      <c r="O10" s="191" t="s">
        <v>48</v>
      </c>
    </row>
    <row r="11" spans="1:15">
      <c r="A11" s="189" t="s">
        <v>235</v>
      </c>
      <c r="B11" s="189"/>
      <c r="C11" s="189"/>
      <c r="D11" s="189"/>
      <c r="E11" s="185"/>
      <c r="F11" s="192">
        <f t="shared" ref="F11:O11" si="0">+F9*$D$10</f>
        <v>0</v>
      </c>
      <c r="G11" s="192">
        <f t="shared" si="0"/>
        <v>0</v>
      </c>
      <c r="H11" s="192">
        <f t="shared" si="0"/>
        <v>0</v>
      </c>
      <c r="I11" s="192">
        <f t="shared" si="0"/>
        <v>0</v>
      </c>
      <c r="J11" s="192">
        <f t="shared" si="0"/>
        <v>0</v>
      </c>
      <c r="K11" s="192">
        <f t="shared" si="0"/>
        <v>0</v>
      </c>
      <c r="L11" s="192">
        <f t="shared" si="0"/>
        <v>0</v>
      </c>
      <c r="M11" s="192">
        <f t="shared" si="0"/>
        <v>0</v>
      </c>
      <c r="N11" s="192">
        <f t="shared" si="0"/>
        <v>0</v>
      </c>
      <c r="O11" s="192">
        <f t="shared" si="0"/>
        <v>0</v>
      </c>
    </row>
    <row r="12" spans="1:17">
      <c r="A12" s="179"/>
      <c r="B12" s="179"/>
      <c r="C12" s="179"/>
      <c r="D12" s="179"/>
      <c r="E12" s="185"/>
      <c r="F12" s="193"/>
      <c r="G12" s="185"/>
      <c r="H12" s="185"/>
      <c r="I12" s="185"/>
      <c r="J12" s="185"/>
      <c r="K12" s="185"/>
      <c r="L12" s="185"/>
      <c r="M12" s="185"/>
      <c r="N12" s="185"/>
      <c r="O12" s="185"/>
      <c r="Q12" s="215"/>
    </row>
    <row r="13" spans="1:15">
      <c r="A13" s="194" t="s">
        <v>236</v>
      </c>
      <c r="B13" s="179"/>
      <c r="C13" s="179"/>
      <c r="D13" s="179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</row>
    <row r="14" spans="1:15">
      <c r="A14" s="195" t="s">
        <v>19</v>
      </c>
      <c r="B14" s="179"/>
      <c r="C14" s="179"/>
      <c r="D14" s="179"/>
      <c r="E14" s="185"/>
      <c r="F14" s="188" t="e">
        <f ca="1">+BS!F25</f>
        <v>#VALUE!</v>
      </c>
      <c r="G14" s="188" t="e">
        <f ca="1">+BS!G25</f>
        <v>#VALUE!</v>
      </c>
      <c r="H14" s="188" t="e">
        <f ca="1">+BS!H25</f>
        <v>#VALUE!</v>
      </c>
      <c r="I14" s="188" t="e">
        <f ca="1">+BS!I25</f>
        <v>#VALUE!</v>
      </c>
      <c r="J14" s="188" t="e">
        <f ca="1">+BS!J25</f>
        <v>#VALUE!</v>
      </c>
      <c r="K14" s="188" t="e">
        <f ca="1">+BS!K25</f>
        <v>#VALUE!</v>
      </c>
      <c r="L14" s="188" t="e">
        <f ca="1">+BS!L25</f>
        <v>#VALUE!</v>
      </c>
      <c r="M14" s="188" t="e">
        <f ca="1">+BS!M25</f>
        <v>#VALUE!</v>
      </c>
      <c r="N14" s="188" t="e">
        <f ca="1">+BS!N25</f>
        <v>#VALUE!</v>
      </c>
      <c r="O14" s="188" t="e">
        <f ca="1">+BS!O25</f>
        <v>#VALUE!</v>
      </c>
    </row>
    <row r="15" spans="1:15">
      <c r="A15" s="195" t="s">
        <v>23</v>
      </c>
      <c r="B15" s="179"/>
      <c r="C15" s="179"/>
      <c r="D15" s="179"/>
      <c r="E15" s="185"/>
      <c r="F15" s="196">
        <f ca="1">+BS!F26</f>
        <v>0</v>
      </c>
      <c r="G15" s="196">
        <f ca="1">+BS!G26</f>
        <v>0</v>
      </c>
      <c r="H15" s="196">
        <f ca="1">+BS!H26</f>
        <v>0</v>
      </c>
      <c r="I15" s="196">
        <f ca="1">+BS!I26</f>
        <v>0</v>
      </c>
      <c r="J15" s="196">
        <f ca="1">+BS!J26</f>
        <v>0</v>
      </c>
      <c r="K15" s="196">
        <f ca="1">+BS!K26</f>
        <v>0</v>
      </c>
      <c r="L15" s="196">
        <f ca="1">+BS!L26</f>
        <v>0</v>
      </c>
      <c r="M15" s="196">
        <f ca="1">+BS!M26</f>
        <v>0</v>
      </c>
      <c r="N15" s="196">
        <f ca="1">+BS!N26</f>
        <v>0</v>
      </c>
      <c r="O15" s="196">
        <f ca="1">+BS!O26</f>
        <v>0</v>
      </c>
    </row>
    <row r="16" spans="1:15">
      <c r="A16" s="195" t="s">
        <v>27</v>
      </c>
      <c r="B16" s="179"/>
      <c r="C16" s="179"/>
      <c r="D16" s="179"/>
      <c r="E16" s="185"/>
      <c r="F16" s="196">
        <f ca="1">+BS!F27</f>
        <v>0</v>
      </c>
      <c r="G16" s="196">
        <f ca="1">+BS!G27</f>
        <v>0</v>
      </c>
      <c r="H16" s="196">
        <f ca="1">+BS!H27</f>
        <v>0</v>
      </c>
      <c r="I16" s="196">
        <f ca="1">+BS!I27</f>
        <v>0</v>
      </c>
      <c r="J16" s="196">
        <f ca="1">+BS!J27</f>
        <v>0</v>
      </c>
      <c r="K16" s="196">
        <f ca="1">+BS!K27</f>
        <v>0</v>
      </c>
      <c r="L16" s="196">
        <f ca="1">+BS!L27</f>
        <v>0</v>
      </c>
      <c r="M16" s="196">
        <f ca="1">+BS!M27</f>
        <v>0</v>
      </c>
      <c r="N16" s="196">
        <f ca="1">+BS!N27</f>
        <v>0</v>
      </c>
      <c r="O16" s="196">
        <f ca="1">+BS!O27</f>
        <v>0</v>
      </c>
    </row>
    <row r="17" spans="1:15">
      <c r="A17" s="195" t="s">
        <v>31</v>
      </c>
      <c r="B17" s="179"/>
      <c r="C17" s="179"/>
      <c r="D17" s="179"/>
      <c r="E17" s="185"/>
      <c r="F17" s="196">
        <f ca="1">+BS!F28</f>
        <v>0</v>
      </c>
      <c r="G17" s="196">
        <f ca="1">+BS!G28</f>
        <v>0</v>
      </c>
      <c r="H17" s="196">
        <f ca="1">+BS!H28</f>
        <v>0</v>
      </c>
      <c r="I17" s="196">
        <f ca="1">+BS!I28</f>
        <v>0</v>
      </c>
      <c r="J17" s="196">
        <f ca="1">+BS!J28</f>
        <v>0</v>
      </c>
      <c r="K17" s="196">
        <f ca="1">+BS!K28</f>
        <v>0</v>
      </c>
      <c r="L17" s="196">
        <f ca="1">+BS!L28</f>
        <v>0</v>
      </c>
      <c r="M17" s="196">
        <f ca="1">+BS!M28</f>
        <v>0</v>
      </c>
      <c r="N17" s="196">
        <f ca="1">+BS!N28</f>
        <v>0</v>
      </c>
      <c r="O17" s="196">
        <f ca="1">+BS!O28</f>
        <v>0</v>
      </c>
    </row>
    <row r="18" spans="1:15">
      <c r="A18" s="195" t="s">
        <v>78</v>
      </c>
      <c r="B18" s="179"/>
      <c r="C18" s="179"/>
      <c r="D18" s="179"/>
      <c r="E18" s="185"/>
      <c r="F18" s="196">
        <f ca="1">+BS!F29</f>
        <v>0</v>
      </c>
      <c r="G18" s="196">
        <f ca="1">+BS!G29</f>
        <v>0</v>
      </c>
      <c r="H18" s="196">
        <f ca="1">+BS!H29</f>
        <v>0</v>
      </c>
      <c r="I18" s="196">
        <f ca="1">+BS!I29</f>
        <v>0</v>
      </c>
      <c r="J18" s="196">
        <f ca="1">+BS!J29</f>
        <v>0</v>
      </c>
      <c r="K18" s="196">
        <f ca="1">+BS!K29</f>
        <v>0</v>
      </c>
      <c r="L18" s="196">
        <f ca="1">+BS!L29</f>
        <v>0</v>
      </c>
      <c r="M18" s="196">
        <f ca="1">+BS!M29</f>
        <v>0</v>
      </c>
      <c r="N18" s="196">
        <f ca="1">+BS!N29</f>
        <v>0</v>
      </c>
      <c r="O18" s="196">
        <f ca="1">+BS!O29</f>
        <v>0</v>
      </c>
    </row>
    <row r="19" spans="1:15">
      <c r="A19" s="195" t="s">
        <v>33</v>
      </c>
      <c r="B19" s="179"/>
      <c r="C19" s="179"/>
      <c r="D19" s="179"/>
      <c r="E19" s="185"/>
      <c r="F19" s="196">
        <f>+BS!F30</f>
        <v>0</v>
      </c>
      <c r="G19" s="196">
        <f>+BS!G30</f>
        <v>0</v>
      </c>
      <c r="H19" s="196">
        <f>+BS!H30</f>
        <v>0</v>
      </c>
      <c r="I19" s="196">
        <f>+BS!I30</f>
        <v>0</v>
      </c>
      <c r="J19" s="196">
        <f>+BS!J30</f>
        <v>0</v>
      </c>
      <c r="K19" s="196">
        <f>+BS!K30</f>
        <v>0</v>
      </c>
      <c r="L19" s="196">
        <f>+BS!L30</f>
        <v>0</v>
      </c>
      <c r="M19" s="196">
        <f>+BS!M30</f>
        <v>0</v>
      </c>
      <c r="N19" s="196">
        <f>+BS!N30</f>
        <v>0</v>
      </c>
      <c r="O19" s="196">
        <f>+BS!O30</f>
        <v>0</v>
      </c>
    </row>
    <row r="20" spans="1:15">
      <c r="A20" s="195" t="s">
        <v>37</v>
      </c>
      <c r="B20" s="179"/>
      <c r="C20" s="179"/>
      <c r="D20" s="179"/>
      <c r="E20" s="185"/>
      <c r="F20" s="196">
        <f>+BS!F31</f>
        <v>0</v>
      </c>
      <c r="G20" s="196">
        <f>+BS!G31</f>
        <v>0</v>
      </c>
      <c r="H20" s="196">
        <f>+BS!H31</f>
        <v>0</v>
      </c>
      <c r="I20" s="196">
        <f>+BS!I31</f>
        <v>0</v>
      </c>
      <c r="J20" s="196">
        <f>+BS!J31</f>
        <v>0</v>
      </c>
      <c r="K20" s="196">
        <f>+BS!K31</f>
        <v>0</v>
      </c>
      <c r="L20" s="196">
        <f>+BS!L31</f>
        <v>0</v>
      </c>
      <c r="M20" s="196">
        <f>+BS!M31</f>
        <v>0</v>
      </c>
      <c r="N20" s="196">
        <f>+BS!N31</f>
        <v>0</v>
      </c>
      <c r="O20" s="196">
        <f>+BS!O31</f>
        <v>0</v>
      </c>
    </row>
    <row r="21" spans="1:15">
      <c r="A21" s="195" t="s">
        <v>40</v>
      </c>
      <c r="B21" s="179"/>
      <c r="C21" s="179"/>
      <c r="D21" s="179"/>
      <c r="E21" s="185"/>
      <c r="F21" s="196">
        <f>+BS!F33</f>
        <v>0</v>
      </c>
      <c r="G21" s="196">
        <f>+BS!G33</f>
        <v>0</v>
      </c>
      <c r="H21" s="196">
        <f>+BS!H33</f>
        <v>0</v>
      </c>
      <c r="I21" s="196">
        <f>+BS!I33</f>
        <v>0</v>
      </c>
      <c r="J21" s="196">
        <f>+BS!J33</f>
        <v>0</v>
      </c>
      <c r="K21" s="196">
        <f>+BS!K33</f>
        <v>0</v>
      </c>
      <c r="L21" s="196">
        <f>+BS!L33</f>
        <v>0</v>
      </c>
      <c r="M21" s="196">
        <f>+BS!M33</f>
        <v>0</v>
      </c>
      <c r="N21" s="196">
        <f>+BS!N33</f>
        <v>0</v>
      </c>
      <c r="O21" s="196">
        <f>+BS!O33</f>
        <v>0</v>
      </c>
    </row>
    <row r="22" spans="1:15">
      <c r="A22" s="195" t="s">
        <v>79</v>
      </c>
      <c r="B22" s="179"/>
      <c r="C22" s="179"/>
      <c r="D22" s="179"/>
      <c r="E22" s="185"/>
      <c r="F22" s="191">
        <f>+BS!F34</f>
        <v>0</v>
      </c>
      <c r="G22" s="191">
        <f>+BS!G34</f>
        <v>0</v>
      </c>
      <c r="H22" s="191">
        <f>+BS!H34</f>
        <v>0</v>
      </c>
      <c r="I22" s="191">
        <f>+BS!I34</f>
        <v>0</v>
      </c>
      <c r="J22" s="191">
        <f>+BS!J34</f>
        <v>0</v>
      </c>
      <c r="K22" s="191">
        <f>+BS!K34</f>
        <v>0</v>
      </c>
      <c r="L22" s="191">
        <f>+BS!L34</f>
        <v>0</v>
      </c>
      <c r="M22" s="191">
        <f>+BS!M34</f>
        <v>0</v>
      </c>
      <c r="N22" s="191">
        <f>+BS!N34</f>
        <v>0</v>
      </c>
      <c r="O22" s="191">
        <f>+BS!O34</f>
        <v>0</v>
      </c>
    </row>
    <row r="23" spans="1:15">
      <c r="A23" s="197" t="s">
        <v>82</v>
      </c>
      <c r="B23" s="189"/>
      <c r="C23" s="189"/>
      <c r="D23" s="189"/>
      <c r="E23" s="185"/>
      <c r="F23" s="192" t="e">
        <f ca="1" t="shared" ref="F23:O23" si="1">SUM(F14:F22)</f>
        <v>#VALUE!</v>
      </c>
      <c r="G23" s="192" t="e">
        <f ca="1" t="shared" si="1"/>
        <v>#VALUE!</v>
      </c>
      <c r="H23" s="192" t="e">
        <f ca="1" t="shared" si="1"/>
        <v>#VALUE!</v>
      </c>
      <c r="I23" s="192" t="e">
        <f ca="1" t="shared" si="1"/>
        <v>#VALUE!</v>
      </c>
      <c r="J23" s="192" t="e">
        <f ca="1" t="shared" si="1"/>
        <v>#VALUE!</v>
      </c>
      <c r="K23" s="192" t="e">
        <f ca="1" t="shared" si="1"/>
        <v>#VALUE!</v>
      </c>
      <c r="L23" s="192" t="e">
        <f ca="1" t="shared" si="1"/>
        <v>#VALUE!</v>
      </c>
      <c r="M23" s="192" t="e">
        <f ca="1" t="shared" si="1"/>
        <v>#VALUE!</v>
      </c>
      <c r="N23" s="192" t="e">
        <f ca="1" t="shared" si="1"/>
        <v>#VALUE!</v>
      </c>
      <c r="O23" s="192" t="e">
        <f ca="1" t="shared" si="1"/>
        <v>#VALUE!</v>
      </c>
    </row>
    <row r="24" spans="1:15">
      <c r="A24" s="179" t="s">
        <v>237</v>
      </c>
      <c r="B24" s="179"/>
      <c r="C24" s="179"/>
      <c r="D24" s="179"/>
      <c r="E24" s="185"/>
      <c r="F24" s="191" t="e">
        <f ca="1">+BS!F7</f>
        <v>#VALUE!</v>
      </c>
      <c r="G24" s="191" t="e">
        <f ca="1">+BS!G7</f>
        <v>#VALUE!</v>
      </c>
      <c r="H24" s="191" t="e">
        <f ca="1">+BS!H7</f>
        <v>#VALUE!</v>
      </c>
      <c r="I24" s="191" t="e">
        <f ca="1">+BS!I7</f>
        <v>#VALUE!</v>
      </c>
      <c r="J24" s="191" t="e">
        <f ca="1">+BS!J7</f>
        <v>#VALUE!</v>
      </c>
      <c r="K24" s="191" t="e">
        <f ca="1">+BS!K7</f>
        <v>#VALUE!</v>
      </c>
      <c r="L24" s="191" t="e">
        <f ca="1">+BS!L7</f>
        <v>#VALUE!</v>
      </c>
      <c r="M24" s="191" t="e">
        <f ca="1">+BS!M7</f>
        <v>#VALUE!</v>
      </c>
      <c r="N24" s="191" t="e">
        <f ca="1">+BS!N7</f>
        <v>#VALUE!</v>
      </c>
      <c r="O24" s="191" t="e">
        <f ca="1">+BS!O7</f>
        <v>#VALUE!</v>
      </c>
    </row>
    <row r="25" spans="1:15">
      <c r="A25" s="189" t="s">
        <v>238</v>
      </c>
      <c r="B25" s="179"/>
      <c r="C25" s="179"/>
      <c r="D25" s="179"/>
      <c r="E25" s="185"/>
      <c r="F25" s="192" t="e">
        <f ca="1" t="shared" ref="F25:O25" si="2">+F23-F24</f>
        <v>#VALUE!</v>
      </c>
      <c r="G25" s="192" t="e">
        <f ca="1" t="shared" si="2"/>
        <v>#VALUE!</v>
      </c>
      <c r="H25" s="192" t="e">
        <f ca="1" t="shared" si="2"/>
        <v>#VALUE!</v>
      </c>
      <c r="I25" s="192" t="e">
        <f ca="1" t="shared" si="2"/>
        <v>#VALUE!</v>
      </c>
      <c r="J25" s="192" t="e">
        <f ca="1" t="shared" si="2"/>
        <v>#VALUE!</v>
      </c>
      <c r="K25" s="192" t="e">
        <f ca="1" t="shared" si="2"/>
        <v>#VALUE!</v>
      </c>
      <c r="L25" s="192" t="e">
        <f ca="1" t="shared" si="2"/>
        <v>#VALUE!</v>
      </c>
      <c r="M25" s="192" t="e">
        <f ca="1" t="shared" si="2"/>
        <v>#VALUE!</v>
      </c>
      <c r="N25" s="192" t="e">
        <f ca="1" t="shared" si="2"/>
        <v>#VALUE!</v>
      </c>
      <c r="O25" s="192" t="e">
        <f ca="1" t="shared" si="2"/>
        <v>#VALUE!</v>
      </c>
    </row>
    <row r="26" spans="1:15">
      <c r="A26" s="179"/>
      <c r="B26" s="179"/>
      <c r="C26" s="179"/>
      <c r="D26" s="179"/>
      <c r="E26" s="185"/>
      <c r="F26" s="191" t="s">
        <v>48</v>
      </c>
      <c r="G26" s="191" t="s">
        <v>48</v>
      </c>
      <c r="H26" s="191" t="s">
        <v>48</v>
      </c>
      <c r="I26" s="191" t="s">
        <v>48</v>
      </c>
      <c r="J26" s="191" t="s">
        <v>48</v>
      </c>
      <c r="K26" s="191" t="s">
        <v>48</v>
      </c>
      <c r="L26" s="191" t="s">
        <v>48</v>
      </c>
      <c r="M26" s="191" t="s">
        <v>48</v>
      </c>
      <c r="N26" s="191" t="s">
        <v>48</v>
      </c>
      <c r="O26" s="191" t="s">
        <v>48</v>
      </c>
    </row>
    <row r="27" ht="15.15" spans="1:15">
      <c r="A27" s="189" t="s">
        <v>239</v>
      </c>
      <c r="B27" s="179"/>
      <c r="C27" s="179"/>
      <c r="D27" s="179"/>
      <c r="E27" s="185"/>
      <c r="F27" s="198" t="e">
        <f ca="1" t="shared" ref="F27:O27" si="3">+F11-F25</f>
        <v>#VALUE!</v>
      </c>
      <c r="G27" s="198" t="e">
        <f ca="1" t="shared" si="3"/>
        <v>#VALUE!</v>
      </c>
      <c r="H27" s="198" t="e">
        <f ca="1" t="shared" si="3"/>
        <v>#VALUE!</v>
      </c>
      <c r="I27" s="198" t="e">
        <f ca="1" t="shared" si="3"/>
        <v>#VALUE!</v>
      </c>
      <c r="J27" s="198" t="e">
        <f ca="1" t="shared" si="3"/>
        <v>#VALUE!</v>
      </c>
      <c r="K27" s="198" t="e">
        <f ca="1" t="shared" si="3"/>
        <v>#VALUE!</v>
      </c>
      <c r="L27" s="198" t="e">
        <f ca="1" t="shared" si="3"/>
        <v>#VALUE!</v>
      </c>
      <c r="M27" s="198" t="e">
        <f ca="1" t="shared" si="3"/>
        <v>#VALUE!</v>
      </c>
      <c r="N27" s="198" t="e">
        <f ca="1" t="shared" si="3"/>
        <v>#VALUE!</v>
      </c>
      <c r="O27" s="198" t="e">
        <f ca="1" t="shared" si="3"/>
        <v>#VALUE!</v>
      </c>
    </row>
    <row r="28" ht="15.15" spans="1:15">
      <c r="A28" s="179"/>
      <c r="B28" s="179"/>
      <c r="C28" s="179"/>
      <c r="D28" s="17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</row>
    <row r="29" spans="1:15">
      <c r="A29" s="199" t="s">
        <v>240</v>
      </c>
      <c r="B29" s="200"/>
      <c r="C29" s="200"/>
      <c r="D29" s="200"/>
      <c r="E29" s="201"/>
      <c r="F29" s="202" t="str">
        <f ca="1" t="shared" ref="F29:O29" si="4">+IF(ISERROR(F27/$E$8),"NM",F27/$E$8)</f>
        <v>NM</v>
      </c>
      <c r="G29" s="202" t="str">
        <f ca="1" t="shared" si="4"/>
        <v>NM</v>
      </c>
      <c r="H29" s="202" t="str">
        <f ca="1" t="shared" si="4"/>
        <v>NM</v>
      </c>
      <c r="I29" s="202" t="str">
        <f ca="1" t="shared" si="4"/>
        <v>NM</v>
      </c>
      <c r="J29" s="202" t="str">
        <f ca="1" t="shared" si="4"/>
        <v>NM</v>
      </c>
      <c r="K29" s="202" t="str">
        <f ca="1" t="shared" si="4"/>
        <v>NM</v>
      </c>
      <c r="L29" s="202" t="str">
        <f ca="1" t="shared" si="4"/>
        <v>NM</v>
      </c>
      <c r="M29" s="202" t="str">
        <f ca="1" t="shared" si="4"/>
        <v>NM</v>
      </c>
      <c r="N29" s="202" t="str">
        <f ca="1" t="shared" si="4"/>
        <v>NM</v>
      </c>
      <c r="O29" s="213" t="str">
        <f ca="1" t="shared" si="4"/>
        <v>NM</v>
      </c>
    </row>
    <row r="30" spans="1:15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</row>
    <row r="31" spans="1:15">
      <c r="A31" s="179"/>
      <c r="B31" s="179"/>
      <c r="C31" s="179"/>
      <c r="D31" s="179"/>
      <c r="E31" s="179"/>
      <c r="F31" s="106">
        <v>1</v>
      </c>
      <c r="G31" s="106">
        <v>2</v>
      </c>
      <c r="H31" s="106">
        <v>3</v>
      </c>
      <c r="I31" s="106">
        <v>4</v>
      </c>
      <c r="J31" s="106">
        <v>5</v>
      </c>
      <c r="K31" s="106">
        <v>6</v>
      </c>
      <c r="L31" s="106">
        <v>7</v>
      </c>
      <c r="M31" s="106">
        <v>8</v>
      </c>
      <c r="N31" s="106">
        <v>9</v>
      </c>
      <c r="O31" s="106">
        <v>10</v>
      </c>
    </row>
    <row r="32" spans="1:15">
      <c r="A32" s="189"/>
      <c r="B32" s="179"/>
      <c r="C32" s="179"/>
      <c r="D32" s="179"/>
      <c r="E32" s="179"/>
      <c r="F32" s="107">
        <f t="shared" ref="F32:O32" si="5">+F6</f>
        <v>2025</v>
      </c>
      <c r="G32" s="107">
        <f t="shared" si="5"/>
        <v>2026</v>
      </c>
      <c r="H32" s="107">
        <f t="shared" si="5"/>
        <v>2027</v>
      </c>
      <c r="I32" s="107">
        <f t="shared" si="5"/>
        <v>2028</v>
      </c>
      <c r="J32" s="107">
        <f t="shared" si="5"/>
        <v>2029</v>
      </c>
      <c r="K32" s="107">
        <f t="shared" si="5"/>
        <v>2030</v>
      </c>
      <c r="L32" s="107">
        <f t="shared" si="5"/>
        <v>2031</v>
      </c>
      <c r="M32" s="107">
        <f t="shared" si="5"/>
        <v>2032</v>
      </c>
      <c r="N32" s="107">
        <f t="shared" si="5"/>
        <v>2033</v>
      </c>
      <c r="O32" s="107">
        <f t="shared" si="5"/>
        <v>2034</v>
      </c>
    </row>
    <row r="33" spans="2:15">
      <c r="B33" s="203"/>
      <c r="C33" s="203"/>
      <c r="D33" s="204" t="s">
        <v>232</v>
      </c>
      <c r="E33" s="205" t="s">
        <v>241</v>
      </c>
      <c r="F33" s="188">
        <f>-E8</f>
        <v>-3922.5912</v>
      </c>
      <c r="G33" s="188">
        <f t="shared" ref="G33:O33" si="6">+F33</f>
        <v>-3922.5912</v>
      </c>
      <c r="H33" s="188">
        <f t="shared" si="6"/>
        <v>-3922.5912</v>
      </c>
      <c r="I33" s="188">
        <f t="shared" si="6"/>
        <v>-3922.5912</v>
      </c>
      <c r="J33" s="188">
        <f t="shared" si="6"/>
        <v>-3922.5912</v>
      </c>
      <c r="K33" s="188">
        <f t="shared" si="6"/>
        <v>-3922.5912</v>
      </c>
      <c r="L33" s="188">
        <f t="shared" si="6"/>
        <v>-3922.5912</v>
      </c>
      <c r="M33" s="188">
        <f t="shared" si="6"/>
        <v>-3922.5912</v>
      </c>
      <c r="N33" s="188">
        <f t="shared" si="6"/>
        <v>-3922.5912</v>
      </c>
      <c r="O33" s="188">
        <f t="shared" si="6"/>
        <v>-3922.5912</v>
      </c>
    </row>
    <row r="34" spans="2:15">
      <c r="B34" s="189"/>
      <c r="C34" s="189"/>
      <c r="D34" s="206" t="s">
        <v>242</v>
      </c>
      <c r="E34" s="207" t="s">
        <v>243</v>
      </c>
      <c r="F34" s="188" t="e">
        <f ca="1">+F27-CF!B39</f>
        <v>#VALUE!</v>
      </c>
      <c r="G34" s="208">
        <f>-CF!$B$39</f>
        <v>0</v>
      </c>
      <c r="H34" s="208">
        <f>-CF!$B$39</f>
        <v>0</v>
      </c>
      <c r="I34" s="208">
        <f>-CF!$B$39</f>
        <v>0</v>
      </c>
      <c r="J34" s="208">
        <f>-CF!$B$39</f>
        <v>0</v>
      </c>
      <c r="K34" s="208">
        <f>-CF!$B$39</f>
        <v>0</v>
      </c>
      <c r="L34" s="208">
        <f>-CF!$B$39</f>
        <v>0</v>
      </c>
      <c r="M34" s="208">
        <f>-CF!$B$39</f>
        <v>0</v>
      </c>
      <c r="N34" s="208">
        <f>-CF!$B$39</f>
        <v>0</v>
      </c>
      <c r="O34" s="208">
        <f>-CF!$B$39</f>
        <v>0</v>
      </c>
    </row>
    <row r="35" spans="1:15">
      <c r="A35" s="189"/>
      <c r="B35" s="179"/>
      <c r="C35" s="179"/>
      <c r="D35" s="179"/>
      <c r="E35" s="207" t="s">
        <v>244</v>
      </c>
      <c r="F35" s="188"/>
      <c r="G35" s="188" t="e">
        <f ca="1">+G27-CF!$C$39</f>
        <v>#VALUE!</v>
      </c>
      <c r="H35" s="208">
        <f>-CF!$C$39</f>
        <v>0</v>
      </c>
      <c r="I35" s="208">
        <f>-CF!$C$39</f>
        <v>0</v>
      </c>
      <c r="J35" s="208">
        <f>-CF!$C$39</f>
        <v>0</v>
      </c>
      <c r="K35" s="208">
        <f>-CF!$C$39</f>
        <v>0</v>
      </c>
      <c r="L35" s="208">
        <f>-CF!$C$39</f>
        <v>0</v>
      </c>
      <c r="M35" s="208">
        <f>-CF!$C$39</f>
        <v>0</v>
      </c>
      <c r="N35" s="208">
        <f>-CF!$C$39</f>
        <v>0</v>
      </c>
      <c r="O35" s="208">
        <f>-CF!$C$39</f>
        <v>0</v>
      </c>
    </row>
    <row r="36" spans="1:15">
      <c r="A36" s="189"/>
      <c r="B36" s="179"/>
      <c r="C36" s="179"/>
      <c r="D36" s="179"/>
      <c r="E36" s="207" t="s">
        <v>245</v>
      </c>
      <c r="F36" s="188"/>
      <c r="G36" s="188"/>
      <c r="H36" s="188" t="e">
        <f ca="1">+H27-CF!D39</f>
        <v>#VALUE!</v>
      </c>
      <c r="I36" s="208">
        <f>-CF!$D$39</f>
        <v>0</v>
      </c>
      <c r="J36" s="208">
        <f>-CF!$D$39</f>
        <v>0</v>
      </c>
      <c r="K36" s="208">
        <f>-CF!$D$39</f>
        <v>0</v>
      </c>
      <c r="L36" s="208">
        <f>-CF!$D$39</f>
        <v>0</v>
      </c>
      <c r="M36" s="208">
        <f>-CF!$D$39</f>
        <v>0</v>
      </c>
      <c r="N36" s="208">
        <f>-CF!$D$39</f>
        <v>0</v>
      </c>
      <c r="O36" s="208">
        <f>-CF!$D$39</f>
        <v>0</v>
      </c>
    </row>
    <row r="37" spans="1:15">
      <c r="A37" s="189"/>
      <c r="B37" s="179"/>
      <c r="C37" s="179"/>
      <c r="D37" s="179"/>
      <c r="E37" s="207" t="s">
        <v>246</v>
      </c>
      <c r="F37" s="188"/>
      <c r="G37" s="188"/>
      <c r="H37" s="188"/>
      <c r="I37" s="188" t="e">
        <f ca="1">+I27-CF!E39</f>
        <v>#VALUE!</v>
      </c>
      <c r="J37" s="208">
        <f>-CF!$E$39</f>
        <v>0</v>
      </c>
      <c r="K37" s="208">
        <f>-CF!$E$39</f>
        <v>0</v>
      </c>
      <c r="L37" s="208">
        <f>-CF!$E$39</f>
        <v>0</v>
      </c>
      <c r="M37" s="208">
        <f>-CF!$E$39</f>
        <v>0</v>
      </c>
      <c r="N37" s="208">
        <f>-CF!$E$39</f>
        <v>0</v>
      </c>
      <c r="O37" s="208">
        <f>-CF!$E$39</f>
        <v>0</v>
      </c>
    </row>
    <row r="38" spans="1:15">
      <c r="A38" s="189"/>
      <c r="B38" s="179"/>
      <c r="C38" s="179"/>
      <c r="D38" s="179"/>
      <c r="E38" s="207" t="s">
        <v>247</v>
      </c>
      <c r="F38" s="188"/>
      <c r="G38" s="188"/>
      <c r="H38" s="188"/>
      <c r="I38" s="188"/>
      <c r="J38" s="188" t="e">
        <f ca="1">+J27-CF!F39</f>
        <v>#VALUE!</v>
      </c>
      <c r="K38" s="208">
        <f>-CF!$F$39</f>
        <v>0</v>
      </c>
      <c r="L38" s="208">
        <f>-CF!$F$39</f>
        <v>0</v>
      </c>
      <c r="M38" s="208">
        <f>-CF!$F$39</f>
        <v>0</v>
      </c>
      <c r="N38" s="208">
        <f>-CF!$F$39</f>
        <v>0</v>
      </c>
      <c r="O38" s="208">
        <f>-CF!$F$39</f>
        <v>0</v>
      </c>
    </row>
    <row r="39" spans="1:15">
      <c r="A39" s="189"/>
      <c r="B39" s="179"/>
      <c r="C39" s="179"/>
      <c r="D39" s="179"/>
      <c r="E39" s="207" t="s">
        <v>248</v>
      </c>
      <c r="F39" s="188"/>
      <c r="G39" s="188"/>
      <c r="H39" s="188"/>
      <c r="I39" s="188"/>
      <c r="J39" s="188"/>
      <c r="K39" s="188" t="e">
        <f ca="1">+K27-CF!G39</f>
        <v>#VALUE!</v>
      </c>
      <c r="L39" s="208">
        <f>-CF!$G$39</f>
        <v>0</v>
      </c>
      <c r="M39" s="208">
        <f>-CF!$G$39</f>
        <v>0</v>
      </c>
      <c r="N39" s="208">
        <f>-CF!$G$39</f>
        <v>0</v>
      </c>
      <c r="O39" s="208">
        <f>-CF!$G$39</f>
        <v>0</v>
      </c>
    </row>
    <row r="40" spans="1:15">
      <c r="A40" s="189"/>
      <c r="B40" s="179"/>
      <c r="C40" s="179"/>
      <c r="D40" s="179"/>
      <c r="E40" s="207" t="s">
        <v>249</v>
      </c>
      <c r="F40" s="188"/>
      <c r="G40" s="188"/>
      <c r="H40" s="188"/>
      <c r="I40" s="188"/>
      <c r="J40" s="188"/>
      <c r="K40" s="188"/>
      <c r="L40" s="188" t="e">
        <f ca="1">+L27-CF!H39</f>
        <v>#VALUE!</v>
      </c>
      <c r="M40" s="208">
        <f>-CF!$H$39</f>
        <v>0</v>
      </c>
      <c r="N40" s="208">
        <f>-CF!$H$39</f>
        <v>0</v>
      </c>
      <c r="O40" s="208">
        <f>-CF!$H$39</f>
        <v>0</v>
      </c>
    </row>
    <row r="41" spans="1:15">
      <c r="A41" s="189"/>
      <c r="B41" s="179"/>
      <c r="C41" s="179"/>
      <c r="D41" s="179"/>
      <c r="E41" s="207" t="s">
        <v>250</v>
      </c>
      <c r="F41" s="188"/>
      <c r="G41" s="188"/>
      <c r="H41" s="188"/>
      <c r="I41" s="188"/>
      <c r="J41" s="188"/>
      <c r="K41" s="188"/>
      <c r="L41" s="188"/>
      <c r="M41" s="188" t="e">
        <f ca="1">+M27-CF!I39</f>
        <v>#VALUE!</v>
      </c>
      <c r="N41" s="208">
        <f>-CF!$I$39</f>
        <v>0</v>
      </c>
      <c r="O41" s="208">
        <f>-CF!$I$39</f>
        <v>0</v>
      </c>
    </row>
    <row r="42" spans="1:15">
      <c r="A42" s="179"/>
      <c r="B42" s="179"/>
      <c r="C42" s="179"/>
      <c r="D42" s="179"/>
      <c r="E42" s="207" t="s">
        <v>251</v>
      </c>
      <c r="F42" s="188"/>
      <c r="G42" s="188"/>
      <c r="H42" s="188"/>
      <c r="I42" s="188"/>
      <c r="J42" s="188"/>
      <c r="K42" s="188"/>
      <c r="L42" s="188"/>
      <c r="M42" s="188"/>
      <c r="N42" s="188" t="e">
        <f ca="1">+N27-CF!J39</f>
        <v>#VALUE!</v>
      </c>
      <c r="O42" s="208">
        <f>-CF!$J$39</f>
        <v>0</v>
      </c>
    </row>
    <row r="43" spans="1:15">
      <c r="A43" s="179"/>
      <c r="B43" s="179"/>
      <c r="C43" s="179"/>
      <c r="D43" s="179"/>
      <c r="E43" s="205" t="s">
        <v>252</v>
      </c>
      <c r="F43" s="188"/>
      <c r="G43" s="188"/>
      <c r="H43" s="188"/>
      <c r="I43" s="188"/>
      <c r="J43" s="188"/>
      <c r="K43" s="188"/>
      <c r="L43" s="188"/>
      <c r="M43" s="188"/>
      <c r="N43" s="188"/>
      <c r="O43" s="188" t="e">
        <f ca="1">+O27-CF!K39</f>
        <v>#VALUE!</v>
      </c>
    </row>
    <row r="44" spans="1:15">
      <c r="A44" s="199" t="s">
        <v>253</v>
      </c>
      <c r="B44" s="200"/>
      <c r="C44" s="200"/>
      <c r="D44" s="200"/>
      <c r="E44" s="200"/>
      <c r="F44" s="209" t="str">
        <f ca="1">+IF(ISERROR(IRR(F33:F43)),"NA",IRR(F33:F43))</f>
        <v>NA</v>
      </c>
      <c r="G44" s="209" t="str">
        <f ca="1" t="shared" ref="G44:O44" si="7">+IF(ISERROR(IRR(G33:G43)),"NA",IRR(G33:G43))</f>
        <v>NA</v>
      </c>
      <c r="H44" s="209" t="str">
        <f ca="1" t="shared" si="7"/>
        <v>NA</v>
      </c>
      <c r="I44" s="209" t="str">
        <f ca="1" t="shared" si="7"/>
        <v>NA</v>
      </c>
      <c r="J44" s="209" t="str">
        <f ca="1" t="shared" si="7"/>
        <v>NA</v>
      </c>
      <c r="K44" s="209" t="str">
        <f ca="1" t="shared" si="7"/>
        <v>NA</v>
      </c>
      <c r="L44" s="209" t="str">
        <f ca="1" t="shared" si="7"/>
        <v>NA</v>
      </c>
      <c r="M44" s="209" t="str">
        <f ca="1" t="shared" si="7"/>
        <v>NA</v>
      </c>
      <c r="N44" s="209" t="str">
        <f ca="1" t="shared" si="7"/>
        <v>NA</v>
      </c>
      <c r="O44" s="214" t="str">
        <f ca="1" t="shared" si="7"/>
        <v>NA</v>
      </c>
    </row>
    <row r="45" spans="1:15">
      <c r="A45" s="179"/>
      <c r="B45" s="179"/>
      <c r="C45" s="179"/>
      <c r="D45" s="179"/>
      <c r="E45" s="179"/>
      <c r="F45" s="210"/>
      <c r="G45" s="179"/>
      <c r="H45" s="179"/>
      <c r="I45" s="179"/>
      <c r="J45" s="179"/>
      <c r="K45" s="179"/>
      <c r="L45" s="179"/>
      <c r="M45" s="179"/>
      <c r="N45" s="179"/>
      <c r="O45" s="179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Q62"/>
  <sheetViews>
    <sheetView tabSelected="1" zoomScale="115" zoomScaleNormal="115" workbookViewId="0">
      <selection activeCell="A57" sqref="A57"/>
    </sheetView>
  </sheetViews>
  <sheetFormatPr defaultColWidth="8.81481481481481" defaultRowHeight="14.4"/>
  <cols>
    <col min="1" max="1" width="32.8148148148148" customWidth="1"/>
    <col min="3" max="3" width="9.72222222222222" customWidth="1"/>
    <col min="4" max="8" width="8.88888888888889"/>
    <col min="9" max="13" width="8.88888888888889" style="135"/>
  </cols>
  <sheetData>
    <row r="1" ht="15.6" spans="1:13">
      <c r="A1" s="136" t="s">
        <v>254</v>
      </c>
      <c r="B1" s="136"/>
      <c r="C1" s="136"/>
      <c r="D1" s="136"/>
      <c r="E1" s="136"/>
      <c r="F1" s="136"/>
      <c r="G1" s="136"/>
      <c r="H1" s="136"/>
      <c r="I1" s="162"/>
      <c r="J1" s="162"/>
      <c r="K1" s="162"/>
      <c r="L1" s="162"/>
      <c r="M1" s="162"/>
    </row>
    <row r="2" spans="1:13">
      <c r="A2" s="137"/>
      <c r="B2" s="138"/>
      <c r="C2" s="139"/>
      <c r="D2" s="140" t="s">
        <v>55</v>
      </c>
      <c r="E2" s="140"/>
      <c r="F2" s="140"/>
      <c r="G2" s="140"/>
      <c r="H2" s="140"/>
      <c r="I2" s="140"/>
      <c r="J2" s="140"/>
      <c r="K2" s="140"/>
      <c r="L2" s="140"/>
      <c r="M2" s="139"/>
    </row>
    <row r="3" spans="1:13">
      <c r="A3" s="105"/>
      <c r="B3" s="138"/>
      <c r="C3" s="106" t="s">
        <v>241</v>
      </c>
      <c r="D3" s="106">
        <v>1</v>
      </c>
      <c r="E3" s="106">
        <v>2</v>
      </c>
      <c r="F3" s="106">
        <v>3</v>
      </c>
      <c r="G3" s="106">
        <v>4</v>
      </c>
      <c r="H3" s="106">
        <v>5</v>
      </c>
      <c r="I3" s="106">
        <v>6</v>
      </c>
      <c r="J3" s="106">
        <v>7</v>
      </c>
      <c r="K3" s="106">
        <v>8</v>
      </c>
      <c r="L3" s="106">
        <v>9</v>
      </c>
      <c r="M3" s="106">
        <v>10</v>
      </c>
    </row>
    <row r="4" spans="1:13">
      <c r="A4" s="105"/>
      <c r="B4" s="138"/>
      <c r="C4" s="107" t="s">
        <v>127</v>
      </c>
      <c r="D4" s="107">
        <f>+TS!G24</f>
        <v>2025</v>
      </c>
      <c r="E4" s="107">
        <f>+TS!H24</f>
        <v>2026</v>
      </c>
      <c r="F4" s="107">
        <f>+TS!I24</f>
        <v>2027</v>
      </c>
      <c r="G4" s="107">
        <f>+TS!J24</f>
        <v>2028</v>
      </c>
      <c r="H4" s="107">
        <f>+TS!K24</f>
        <v>2029</v>
      </c>
      <c r="I4" s="107">
        <f>+TS!L24</f>
        <v>2030</v>
      </c>
      <c r="J4" s="107">
        <f>+TS!M24</f>
        <v>2031</v>
      </c>
      <c r="K4" s="107">
        <f>+TS!N24</f>
        <v>2032</v>
      </c>
      <c r="L4" s="107">
        <f>+TS!O24</f>
        <v>2033</v>
      </c>
      <c r="M4" s="107">
        <f>+TS!P24</f>
        <v>2034</v>
      </c>
    </row>
    <row r="5" spans="1:13">
      <c r="A5" s="105"/>
      <c r="B5" s="138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3">
      <c r="A6" s="109" t="s">
        <v>116</v>
      </c>
      <c r="B6" s="110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</row>
    <row r="7" spans="1:15">
      <c r="A7" s="142" t="s">
        <v>255</v>
      </c>
      <c r="B7" s="138"/>
      <c r="C7" s="143">
        <f>CHOOSE(TS!$P$15,C8,C9,C10,C11,C12)</f>
        <v>0.0226</v>
      </c>
      <c r="D7" s="144">
        <f>CHOOSE(TS!$P$15,D8,D9,D10,D11,D12)</f>
        <v>0.0226</v>
      </c>
      <c r="E7" s="144">
        <f>CHOOSE(TS!$P$15,E8,E9,E10,E11,E12)</f>
        <v>0.0226</v>
      </c>
      <c r="F7" s="144">
        <f>CHOOSE(TS!$P$15,F8,F9,F10,F11,F12)</f>
        <v>0.0226</v>
      </c>
      <c r="G7" s="144">
        <f>CHOOSE(TS!$P$15,G8,G9,G10,G11,G12)</f>
        <v>0.0226</v>
      </c>
      <c r="H7" s="144">
        <f>CHOOSE(TS!$P$15,H8,H9,H10,H11,H12)</f>
        <v>0.0226</v>
      </c>
      <c r="I7" s="144">
        <f>CHOOSE(TS!$P$15,I8,I9,I10,I11,I12)</f>
        <v>0.0226</v>
      </c>
      <c r="J7" s="144">
        <f>CHOOSE(TS!$P$15,J8,J9,J10,J11,J12)</f>
        <v>0.0226</v>
      </c>
      <c r="K7" s="144">
        <f>CHOOSE(TS!$P$15,K8,K9,K10,K11,K12)</f>
        <v>0.0226</v>
      </c>
      <c r="L7" s="144">
        <f>CHOOSE(TS!$P$15,L8,L9,L10,L11,L12)</f>
        <v>0.0226</v>
      </c>
      <c r="M7" s="144">
        <f>CHOOSE(TS!$P$15,M8,M9,M10,M11,M12)</f>
        <v>0.0226</v>
      </c>
      <c r="O7" s="163"/>
    </row>
    <row r="8" spans="1:13">
      <c r="A8" s="105" t="s">
        <v>256</v>
      </c>
      <c r="B8" s="138">
        <v>1</v>
      </c>
      <c r="C8" s="145">
        <v>0.0226</v>
      </c>
      <c r="D8" s="145">
        <v>0.0226</v>
      </c>
      <c r="E8" s="145">
        <v>0.0226</v>
      </c>
      <c r="F8" s="145">
        <v>0.0226</v>
      </c>
      <c r="G8" s="145">
        <v>0.0226</v>
      </c>
      <c r="H8" s="145">
        <v>0.0226</v>
      </c>
      <c r="I8" s="164">
        <v>0.0226</v>
      </c>
      <c r="J8" s="165">
        <v>0.0226</v>
      </c>
      <c r="K8" s="164">
        <v>0.0226</v>
      </c>
      <c r="L8" s="165">
        <v>0.0226</v>
      </c>
      <c r="M8" s="165">
        <v>0.0226</v>
      </c>
    </row>
    <row r="9" spans="1:13">
      <c r="A9" s="105" t="s">
        <v>257</v>
      </c>
      <c r="B9" s="138">
        <v>2</v>
      </c>
      <c r="C9" s="146">
        <f t="shared" ref="C9:M9" si="0">C8+2%</f>
        <v>0.0426</v>
      </c>
      <c r="D9" s="146">
        <f t="shared" si="0"/>
        <v>0.0426</v>
      </c>
      <c r="E9" s="146">
        <f t="shared" si="0"/>
        <v>0.0426</v>
      </c>
      <c r="F9" s="146">
        <f t="shared" si="0"/>
        <v>0.0426</v>
      </c>
      <c r="G9" s="146">
        <f t="shared" si="0"/>
        <v>0.0426</v>
      </c>
      <c r="H9" s="146">
        <f t="shared" si="0"/>
        <v>0.0426</v>
      </c>
      <c r="I9" s="166">
        <f t="shared" si="0"/>
        <v>0.0426</v>
      </c>
      <c r="J9" s="167">
        <f t="shared" si="0"/>
        <v>0.0426</v>
      </c>
      <c r="K9" s="166">
        <f t="shared" si="0"/>
        <v>0.0426</v>
      </c>
      <c r="L9" s="167">
        <f t="shared" si="0"/>
        <v>0.0426</v>
      </c>
      <c r="M9" s="167">
        <f t="shared" si="0"/>
        <v>0.0426</v>
      </c>
    </row>
    <row r="10" spans="1:13">
      <c r="A10" s="105" t="s">
        <v>258</v>
      </c>
      <c r="B10" s="138">
        <v>3</v>
      </c>
      <c r="C10" s="146">
        <v>0.0826</v>
      </c>
      <c r="D10" s="146">
        <v>0.0726</v>
      </c>
      <c r="E10" s="146">
        <v>0.0526</v>
      </c>
      <c r="F10" s="146">
        <v>0.0526</v>
      </c>
      <c r="G10" s="146">
        <v>0.0526</v>
      </c>
      <c r="H10" s="146">
        <v>0.0526</v>
      </c>
      <c r="I10" s="166">
        <v>0.0526</v>
      </c>
      <c r="J10" s="167">
        <v>0.0526</v>
      </c>
      <c r="K10" s="166">
        <v>0.0526</v>
      </c>
      <c r="L10" s="167">
        <v>0.0526</v>
      </c>
      <c r="M10" s="167">
        <v>0.0526</v>
      </c>
    </row>
    <row r="11" spans="1:13">
      <c r="A11" s="105" t="s">
        <v>259</v>
      </c>
      <c r="B11" s="138">
        <v>4</v>
      </c>
      <c r="C11" s="146">
        <v>0.0426</v>
      </c>
      <c r="D11" s="146">
        <v>0.0426</v>
      </c>
      <c r="E11" s="146">
        <v>0.0426</v>
      </c>
      <c r="F11" s="146">
        <v>0.0426</v>
      </c>
      <c r="G11" s="146">
        <v>0.0426</v>
      </c>
      <c r="H11" s="146">
        <v>0.0426</v>
      </c>
      <c r="I11" s="166">
        <v>0.0426</v>
      </c>
      <c r="J11" s="167">
        <v>0.0426</v>
      </c>
      <c r="K11" s="166">
        <v>0.0426</v>
      </c>
      <c r="L11" s="167">
        <v>0.0426</v>
      </c>
      <c r="M11" s="167">
        <v>0.0426</v>
      </c>
    </row>
    <row r="12" spans="1:13">
      <c r="A12" s="105" t="s">
        <v>260</v>
      </c>
      <c r="B12" s="138">
        <v>5</v>
      </c>
      <c r="C12" s="147">
        <v>0.0426</v>
      </c>
      <c r="D12" s="147">
        <v>0.0426</v>
      </c>
      <c r="E12" s="147">
        <v>0.0426</v>
      </c>
      <c r="F12" s="147">
        <v>0.0426</v>
      </c>
      <c r="G12" s="147">
        <v>0.0426</v>
      </c>
      <c r="H12" s="147">
        <v>0.0426</v>
      </c>
      <c r="I12" s="168">
        <v>0.0426</v>
      </c>
      <c r="J12" s="169">
        <v>0.0426</v>
      </c>
      <c r="K12" s="168">
        <v>0.0426</v>
      </c>
      <c r="L12" s="169">
        <v>0.0426</v>
      </c>
      <c r="M12" s="169">
        <v>0.0426</v>
      </c>
    </row>
    <row r="13" spans="1:13">
      <c r="A13" s="105"/>
      <c r="B13" s="13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142" t="s">
        <v>261</v>
      </c>
      <c r="B14" s="138"/>
      <c r="C14" s="144">
        <f>CHOOSE(TS!$P$15,C15,C16,C17,C18,C19)</f>
        <v>0.8054</v>
      </c>
      <c r="D14" s="144">
        <f>CHOOSE(TS!$P$15,D15,D16,D17,D18,D19)</f>
        <v>0.8054</v>
      </c>
      <c r="E14" s="144">
        <f>CHOOSE(TS!$P$15,E15,E16,E17,E18,E19)</f>
        <v>0.8054</v>
      </c>
      <c r="F14" s="144">
        <f>CHOOSE(TS!$P$15,F15,F16,F17,F18,F19)</f>
        <v>0.8054</v>
      </c>
      <c r="G14" s="144">
        <f>CHOOSE(TS!$P$15,G15,G16,G17,G18,G19)</f>
        <v>0.8054</v>
      </c>
      <c r="H14" s="144">
        <f>CHOOSE(TS!$P$15,H15,H16,H17,H18,H19)</f>
        <v>0.8054</v>
      </c>
      <c r="I14" s="144">
        <f>CHOOSE(TS!$P$15,I15,I16,I17,I18,I19)</f>
        <v>0.8054</v>
      </c>
      <c r="J14" s="144">
        <f>CHOOSE(TS!$P$15,J15,J16,J17,J18,J19)</f>
        <v>0.8054</v>
      </c>
      <c r="K14" s="144">
        <f>CHOOSE(TS!$P$15,K15,K16,K17,K18,K19)</f>
        <v>0.8054</v>
      </c>
      <c r="L14" s="144">
        <f>CHOOSE(TS!$P$15,L15,L16,L17,L18,L19)</f>
        <v>0.8054</v>
      </c>
      <c r="M14" s="144">
        <f>CHOOSE(TS!$P$15,M15,M16,M17,M18,M19)</f>
        <v>0.8054</v>
      </c>
    </row>
    <row r="15" spans="1:13">
      <c r="A15" s="105" t="str">
        <f>$A$8</f>
        <v>   Base</v>
      </c>
      <c r="B15" s="138">
        <v>1</v>
      </c>
      <c r="C15" s="145">
        <v>0.8054</v>
      </c>
      <c r="D15" s="145">
        <v>0.8054</v>
      </c>
      <c r="E15" s="145">
        <v>0.8054</v>
      </c>
      <c r="F15" s="145">
        <v>0.8054</v>
      </c>
      <c r="G15" s="145">
        <v>0.8054</v>
      </c>
      <c r="H15" s="145">
        <v>0.8054</v>
      </c>
      <c r="I15" s="165">
        <v>0.8054</v>
      </c>
      <c r="J15" s="165">
        <v>0.8054</v>
      </c>
      <c r="K15" s="165">
        <v>0.8054</v>
      </c>
      <c r="L15" s="165">
        <v>0.8054</v>
      </c>
      <c r="M15" s="165">
        <v>0.8054</v>
      </c>
    </row>
    <row r="16" spans="1:17">
      <c r="A16" s="105" t="str">
        <f>$A$9</f>
        <v>   Operational Improvements</v>
      </c>
      <c r="B16" s="138">
        <v>2</v>
      </c>
      <c r="C16" s="146">
        <f t="shared" ref="C16:M16" si="1">C15-2%</f>
        <v>0.7854</v>
      </c>
      <c r="D16" s="146">
        <f t="shared" si="1"/>
        <v>0.7854</v>
      </c>
      <c r="E16" s="146">
        <f t="shared" si="1"/>
        <v>0.7854</v>
      </c>
      <c r="F16" s="146">
        <f t="shared" si="1"/>
        <v>0.7854</v>
      </c>
      <c r="G16" s="146">
        <f t="shared" si="1"/>
        <v>0.7854</v>
      </c>
      <c r="H16" s="146">
        <f t="shared" si="1"/>
        <v>0.7854</v>
      </c>
      <c r="I16" s="167">
        <f t="shared" si="1"/>
        <v>0.7854</v>
      </c>
      <c r="J16" s="167">
        <f t="shared" si="1"/>
        <v>0.7854</v>
      </c>
      <c r="K16" s="167">
        <f t="shared" si="1"/>
        <v>0.7854</v>
      </c>
      <c r="L16" s="167">
        <f t="shared" si="1"/>
        <v>0.7854</v>
      </c>
      <c r="M16" s="167">
        <f t="shared" si="1"/>
        <v>0.7854</v>
      </c>
      <c r="Q16" t="s">
        <v>262</v>
      </c>
    </row>
    <row r="17" spans="1:13">
      <c r="A17" s="105" t="str">
        <f>$A$10</f>
        <v>   Major Stress</v>
      </c>
      <c r="B17" s="138">
        <v>3</v>
      </c>
      <c r="C17" s="146">
        <v>0.8654</v>
      </c>
      <c r="D17" s="146">
        <v>0.8554</v>
      </c>
      <c r="E17" s="146">
        <v>0.8354</v>
      </c>
      <c r="F17" s="146">
        <v>0.8354</v>
      </c>
      <c r="G17" s="146">
        <v>0.8354</v>
      </c>
      <c r="H17" s="146">
        <v>0.8354</v>
      </c>
      <c r="I17" s="167">
        <v>0.8354</v>
      </c>
      <c r="J17" s="167">
        <v>0.8354</v>
      </c>
      <c r="K17" s="167">
        <v>0.8354</v>
      </c>
      <c r="L17" s="167">
        <v>0.8354</v>
      </c>
      <c r="M17" s="167">
        <v>0.8354</v>
      </c>
    </row>
    <row r="18" spans="1:13">
      <c r="A18" s="105" t="str">
        <f>$A$11</f>
        <v>   Alternative Scenario 3</v>
      </c>
      <c r="B18" s="138">
        <v>4</v>
      </c>
      <c r="C18" s="146">
        <v>0.7854</v>
      </c>
      <c r="D18" s="146">
        <v>0.7854</v>
      </c>
      <c r="E18" s="146">
        <v>0.7854</v>
      </c>
      <c r="F18" s="146">
        <v>0.7854</v>
      </c>
      <c r="G18" s="146">
        <v>0.7854</v>
      </c>
      <c r="H18" s="146">
        <v>0.7854</v>
      </c>
      <c r="I18" s="167">
        <v>0.7854</v>
      </c>
      <c r="J18" s="167">
        <v>0.7854</v>
      </c>
      <c r="K18" s="167">
        <v>0.7854</v>
      </c>
      <c r="L18" s="167">
        <v>0.7854</v>
      </c>
      <c r="M18" s="167">
        <v>0.7854</v>
      </c>
    </row>
    <row r="19" spans="1:13">
      <c r="A19" s="105" t="str">
        <f>$A$12</f>
        <v>   Alternative Scenario 4</v>
      </c>
      <c r="B19" s="138">
        <v>5</v>
      </c>
      <c r="C19" s="147">
        <v>0.7854</v>
      </c>
      <c r="D19" s="147">
        <v>0.7854</v>
      </c>
      <c r="E19" s="147">
        <v>0.7854</v>
      </c>
      <c r="F19" s="147">
        <v>0.7854</v>
      </c>
      <c r="G19" s="147">
        <v>0.7854</v>
      </c>
      <c r="H19" s="147">
        <v>0.7854</v>
      </c>
      <c r="I19" s="169">
        <v>0.7854</v>
      </c>
      <c r="J19" s="169">
        <v>0.7854</v>
      </c>
      <c r="K19" s="169">
        <v>0.7854</v>
      </c>
      <c r="L19" s="169">
        <v>0.7854</v>
      </c>
      <c r="M19" s="169">
        <v>0.7854</v>
      </c>
    </row>
    <row r="20" spans="1:13">
      <c r="A20" s="105"/>
      <c r="B20" s="13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>
      <c r="A21" s="142" t="s">
        <v>119</v>
      </c>
      <c r="B21" s="138"/>
      <c r="C21" s="144">
        <f>CHOOSE(TS!$P$15,C22,C23,C24,C25,C26)</f>
        <v>0.0793</v>
      </c>
      <c r="D21" s="144">
        <f>CHOOSE(TS!$P$15,D22,D23,D24,D25,D26)</f>
        <v>0.0793</v>
      </c>
      <c r="E21" s="144">
        <f>CHOOSE(TS!$P$15,E22,E23,E24,E25,E26)</f>
        <v>0.0793</v>
      </c>
      <c r="F21" s="144">
        <f>CHOOSE(TS!$P$15,F22,F23,F24,F25,F26)</f>
        <v>0.0793</v>
      </c>
      <c r="G21" s="144">
        <f>CHOOSE(TS!$P$15,G22,G23,G24,G25,G26)</f>
        <v>0.0793</v>
      </c>
      <c r="H21" s="144">
        <f>CHOOSE(TS!$P$15,H22,H23,H24,H25,H26)</f>
        <v>0.0793</v>
      </c>
      <c r="I21" s="144">
        <f>CHOOSE(TS!$P$15,I22,I23,I24,I25,I26)</f>
        <v>0.0793</v>
      </c>
      <c r="J21" s="144">
        <f>CHOOSE(TS!$P$15,J22,J23,J24,J25,J26)</f>
        <v>0.0793</v>
      </c>
      <c r="K21" s="144">
        <f>CHOOSE(TS!$P$15,K22,K23,K24,K25,K26)</f>
        <v>0.0793</v>
      </c>
      <c r="L21" s="144">
        <f>CHOOSE(TS!$P$15,L22,L23,L24,L25,L26)</f>
        <v>0.0793</v>
      </c>
      <c r="M21" s="144">
        <f>CHOOSE(TS!$P$15,M22,M23,M24,M25,M26)</f>
        <v>0.0793</v>
      </c>
    </row>
    <row r="22" spans="1:13">
      <c r="A22" s="105" t="str">
        <f>$A$8</f>
        <v>   Base</v>
      </c>
      <c r="B22" s="138">
        <v>1</v>
      </c>
      <c r="C22" s="119">
        <v>0.0793</v>
      </c>
      <c r="D22" s="119">
        <v>0.0793</v>
      </c>
      <c r="E22" s="119">
        <v>0.0793</v>
      </c>
      <c r="F22" s="119">
        <v>0.0793</v>
      </c>
      <c r="G22" s="119">
        <v>0.0793</v>
      </c>
      <c r="H22" s="119">
        <v>0.0793</v>
      </c>
      <c r="I22" s="170">
        <v>0.0793</v>
      </c>
      <c r="J22" s="170">
        <v>0.0793</v>
      </c>
      <c r="K22" s="170">
        <v>0.0793</v>
      </c>
      <c r="L22" s="170">
        <v>0.0793</v>
      </c>
      <c r="M22" s="170">
        <v>0.0793</v>
      </c>
    </row>
    <row r="23" spans="1:13">
      <c r="A23" s="105" t="str">
        <f>$A$9</f>
        <v>   Operational Improvements</v>
      </c>
      <c r="B23" s="138">
        <v>2</v>
      </c>
      <c r="C23" s="149">
        <f t="shared" ref="C23:M23" si="2">C22-1%</f>
        <v>0.0693</v>
      </c>
      <c r="D23" s="149">
        <f t="shared" si="2"/>
        <v>0.0693</v>
      </c>
      <c r="E23" s="149">
        <f t="shared" si="2"/>
        <v>0.0693</v>
      </c>
      <c r="F23" s="149">
        <f t="shared" si="2"/>
        <v>0.0693</v>
      </c>
      <c r="G23" s="149">
        <f t="shared" si="2"/>
        <v>0.0693</v>
      </c>
      <c r="H23" s="149">
        <f t="shared" si="2"/>
        <v>0.0693</v>
      </c>
      <c r="I23" s="171">
        <f t="shared" si="2"/>
        <v>0.0693</v>
      </c>
      <c r="J23" s="171">
        <f t="shared" si="2"/>
        <v>0.0693</v>
      </c>
      <c r="K23" s="171">
        <f t="shared" si="2"/>
        <v>0.0693</v>
      </c>
      <c r="L23" s="171">
        <f t="shared" si="2"/>
        <v>0.0693</v>
      </c>
      <c r="M23" s="171">
        <f t="shared" si="2"/>
        <v>0.0693</v>
      </c>
    </row>
    <row r="24" spans="1:13">
      <c r="A24" s="105" t="str">
        <f>$A$10</f>
        <v>   Major Stress</v>
      </c>
      <c r="B24" s="138">
        <v>3</v>
      </c>
      <c r="C24" s="149">
        <v>0.0793</v>
      </c>
      <c r="D24" s="149">
        <v>0.0793</v>
      </c>
      <c r="E24" s="149">
        <v>0.0793</v>
      </c>
      <c r="F24" s="149">
        <v>0.0793</v>
      </c>
      <c r="G24" s="149">
        <v>0.0793</v>
      </c>
      <c r="H24" s="149">
        <v>0.0793</v>
      </c>
      <c r="I24" s="171">
        <v>0.0793</v>
      </c>
      <c r="J24" s="171">
        <v>0.0793</v>
      </c>
      <c r="K24" s="171">
        <v>0.0793</v>
      </c>
      <c r="L24" s="171">
        <v>0.0793</v>
      </c>
      <c r="M24" s="171">
        <v>0.0793</v>
      </c>
    </row>
    <row r="25" spans="1:13">
      <c r="A25" s="105" t="str">
        <f>$A$11</f>
        <v>   Alternative Scenario 3</v>
      </c>
      <c r="B25" s="138">
        <v>4</v>
      </c>
      <c r="C25" s="149">
        <v>0.0693</v>
      </c>
      <c r="D25" s="149">
        <v>0.0693</v>
      </c>
      <c r="E25" s="149">
        <v>0.0693</v>
      </c>
      <c r="F25" s="149">
        <v>0.0693</v>
      </c>
      <c r="G25" s="149">
        <v>0.0693</v>
      </c>
      <c r="H25" s="149">
        <v>0.0693</v>
      </c>
      <c r="I25" s="171">
        <v>0.0693</v>
      </c>
      <c r="J25" s="171">
        <v>0.0693</v>
      </c>
      <c r="K25" s="171">
        <v>0.0693</v>
      </c>
      <c r="L25" s="171">
        <v>0.0693</v>
      </c>
      <c r="M25" s="171">
        <v>0.0693</v>
      </c>
    </row>
    <row r="26" spans="1:13">
      <c r="A26" s="105" t="str">
        <f>$A$12</f>
        <v>   Alternative Scenario 4</v>
      </c>
      <c r="B26" s="138">
        <v>5</v>
      </c>
      <c r="C26" s="150">
        <v>0.0693</v>
      </c>
      <c r="D26" s="150">
        <v>0.0693</v>
      </c>
      <c r="E26" s="150">
        <v>0.0693</v>
      </c>
      <c r="F26" s="150">
        <v>0.0693</v>
      </c>
      <c r="G26" s="150">
        <v>0.0693</v>
      </c>
      <c r="H26" s="150">
        <v>0.0693</v>
      </c>
      <c r="I26" s="172">
        <v>0.0693</v>
      </c>
      <c r="J26" s="172">
        <v>0.0693</v>
      </c>
      <c r="K26" s="172">
        <v>0.0693</v>
      </c>
      <c r="L26" s="172">
        <v>0.0693</v>
      </c>
      <c r="M26" s="172">
        <v>0.0693</v>
      </c>
    </row>
    <row r="27" spans="1:13">
      <c r="A27" s="105"/>
      <c r="B27" s="13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142" t="s">
        <v>120</v>
      </c>
      <c r="B28" s="151"/>
      <c r="C28" s="144">
        <f>CHOOSE(TS!$P$15,C29,C30,C31,C32,C33)</f>
        <v>-0.0005</v>
      </c>
      <c r="D28" s="144">
        <f>CHOOSE(TS!$P$15,D29,D30,D31,D32,D33)</f>
        <v>-0.0005</v>
      </c>
      <c r="E28" s="144">
        <f>CHOOSE(TS!$P$15,E29,E30,E31,E32,E33)</f>
        <v>-0.0005</v>
      </c>
      <c r="F28" s="144">
        <f>CHOOSE(TS!$P$15,F29,F30,F31,F32,F33)</f>
        <v>-0.0005</v>
      </c>
      <c r="G28" s="144">
        <f>CHOOSE(TS!$P$15,G29,G30,G31,G32,G33)</f>
        <v>-0.0005</v>
      </c>
      <c r="H28" s="144">
        <f>CHOOSE(TS!$P$15,H29,H30,H31,H32,H33)</f>
        <v>-0.0005</v>
      </c>
      <c r="I28" s="144">
        <f>CHOOSE(TS!$P$15,I29,I30,I31,I32,I33)</f>
        <v>-0.0005</v>
      </c>
      <c r="J28" s="144">
        <f>CHOOSE(TS!$P$15,J29,J30,J31,J32,J33)</f>
        <v>-0.0005</v>
      </c>
      <c r="K28" s="144">
        <f>CHOOSE(TS!$P$15,K29,K30,K31,K32,K33)</f>
        <v>-0.0005</v>
      </c>
      <c r="L28" s="144">
        <f>CHOOSE(TS!$P$15,L29,L30,L31,L32,L33)</f>
        <v>-0.0005</v>
      </c>
      <c r="M28" s="144">
        <f>CHOOSE(TS!$P$15,M29,M30,M31,M32,M33)</f>
        <v>-0.0005</v>
      </c>
    </row>
    <row r="29" spans="1:13">
      <c r="A29" s="105" t="str">
        <f>$A$8</f>
        <v>   Base</v>
      </c>
      <c r="B29" s="138">
        <v>1</v>
      </c>
      <c r="C29" s="119">
        <v>-0.0005</v>
      </c>
      <c r="D29" s="119">
        <v>-0.0005</v>
      </c>
      <c r="E29" s="119">
        <v>-0.0005</v>
      </c>
      <c r="F29" s="119">
        <v>-0.0005</v>
      </c>
      <c r="G29" s="119">
        <v>-0.0005</v>
      </c>
      <c r="H29" s="119">
        <v>-0.0005</v>
      </c>
      <c r="I29" s="170">
        <v>-0.0005</v>
      </c>
      <c r="J29" s="170">
        <v>-0.0005</v>
      </c>
      <c r="K29" s="170">
        <v>-0.0005</v>
      </c>
      <c r="L29" s="170">
        <v>-0.0005</v>
      </c>
      <c r="M29" s="170">
        <v>-0.0005</v>
      </c>
    </row>
    <row r="30" spans="1:13">
      <c r="A30" s="105" t="str">
        <f>$A$9</f>
        <v>   Operational Improvements</v>
      </c>
      <c r="B30" s="138">
        <v>2</v>
      </c>
      <c r="C30" s="149">
        <f t="shared" ref="C30:M30" si="3">C29</f>
        <v>-0.0005</v>
      </c>
      <c r="D30" s="149">
        <f t="shared" si="3"/>
        <v>-0.0005</v>
      </c>
      <c r="E30" s="149">
        <f t="shared" si="3"/>
        <v>-0.0005</v>
      </c>
      <c r="F30" s="149">
        <f t="shared" si="3"/>
        <v>-0.0005</v>
      </c>
      <c r="G30" s="149">
        <f t="shared" si="3"/>
        <v>-0.0005</v>
      </c>
      <c r="H30" s="149">
        <f t="shared" si="3"/>
        <v>-0.0005</v>
      </c>
      <c r="I30" s="171">
        <f t="shared" si="3"/>
        <v>-0.0005</v>
      </c>
      <c r="J30" s="171">
        <f t="shared" si="3"/>
        <v>-0.0005</v>
      </c>
      <c r="K30" s="171">
        <f t="shared" si="3"/>
        <v>-0.0005</v>
      </c>
      <c r="L30" s="171">
        <f t="shared" si="3"/>
        <v>-0.0005</v>
      </c>
      <c r="M30" s="171">
        <f t="shared" si="3"/>
        <v>-0.0005</v>
      </c>
    </row>
    <row r="31" spans="1:13">
      <c r="A31" s="105" t="str">
        <f>$A$10</f>
        <v>   Major Stress</v>
      </c>
      <c r="B31" s="138">
        <v>3</v>
      </c>
      <c r="C31" s="149">
        <v>0.02</v>
      </c>
      <c r="D31" s="149">
        <v>0.02</v>
      </c>
      <c r="E31" s="149">
        <v>0.02</v>
      </c>
      <c r="F31" s="149">
        <v>0.02</v>
      </c>
      <c r="G31" s="149">
        <v>0.02</v>
      </c>
      <c r="H31" s="149">
        <v>0.02</v>
      </c>
      <c r="I31" s="171">
        <v>0.02</v>
      </c>
      <c r="J31" s="171">
        <v>0.02</v>
      </c>
      <c r="K31" s="171">
        <v>0.02</v>
      </c>
      <c r="L31" s="171">
        <v>0.02</v>
      </c>
      <c r="M31" s="171">
        <v>0.02</v>
      </c>
    </row>
    <row r="32" spans="1:13">
      <c r="A32" s="105" t="str">
        <f>$A$11</f>
        <v>   Alternative Scenario 3</v>
      </c>
      <c r="B32" s="138">
        <v>4</v>
      </c>
      <c r="C32" s="149">
        <v>-0.0005</v>
      </c>
      <c r="D32" s="149">
        <v>-0.0005</v>
      </c>
      <c r="E32" s="149">
        <v>-0.0005</v>
      </c>
      <c r="F32" s="149">
        <v>-0.0005</v>
      </c>
      <c r="G32" s="149">
        <v>-0.0005</v>
      </c>
      <c r="H32" s="149">
        <v>-0.0005</v>
      </c>
      <c r="I32" s="171">
        <v>-0.0005</v>
      </c>
      <c r="J32" s="171">
        <v>-0.0005</v>
      </c>
      <c r="K32" s="171">
        <v>-0.0005</v>
      </c>
      <c r="L32" s="171">
        <v>-0.0005</v>
      </c>
      <c r="M32" s="171">
        <v>-0.0005</v>
      </c>
    </row>
    <row r="33" spans="1:13">
      <c r="A33" s="105" t="str">
        <f>$A$12</f>
        <v>   Alternative Scenario 4</v>
      </c>
      <c r="B33" s="138">
        <v>5</v>
      </c>
      <c r="C33" s="150">
        <v>-0.0005</v>
      </c>
      <c r="D33" s="150">
        <v>-0.0005</v>
      </c>
      <c r="E33" s="150">
        <v>-0.0005</v>
      </c>
      <c r="F33" s="150">
        <v>-0.0005</v>
      </c>
      <c r="G33" s="150">
        <v>-0.0005</v>
      </c>
      <c r="H33" s="150">
        <v>-0.0005</v>
      </c>
      <c r="I33" s="172">
        <v>-0.0005</v>
      </c>
      <c r="J33" s="172">
        <v>-0.0005</v>
      </c>
      <c r="K33" s="172">
        <v>-0.0005</v>
      </c>
      <c r="L33" s="172">
        <v>-0.0005</v>
      </c>
      <c r="M33" s="172">
        <v>-0.0005</v>
      </c>
    </row>
    <row r="34" spans="1:13">
      <c r="A34" s="105"/>
      <c r="B34" s="13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</row>
    <row r="35" spans="1:13">
      <c r="A35" s="142" t="s">
        <v>263</v>
      </c>
      <c r="B35" s="138"/>
      <c r="C35" s="144">
        <f>CHOOSE(TS!$P$15,C36,C37,C38,C39,C40)</f>
        <v>0.0312</v>
      </c>
      <c r="D35" s="144">
        <f>CHOOSE(TS!$P$15,D36,D37,D38,D39,D40)</f>
        <v>0.0312</v>
      </c>
      <c r="E35" s="144">
        <f>CHOOSE(TS!$P$15,E36,E37,E38,E39,E40)</f>
        <v>0.0312</v>
      </c>
      <c r="F35" s="144">
        <f>CHOOSE(TS!$P$15,F36,F37,F38,F39,F40)</f>
        <v>0.0312</v>
      </c>
      <c r="G35" s="144">
        <f>CHOOSE(TS!$P$15,G36,G37,G38,G39,G40)</f>
        <v>0.0312</v>
      </c>
      <c r="H35" s="144">
        <f>CHOOSE(TS!$P$15,H36,H37,H38,H39,H40)</f>
        <v>0.0312</v>
      </c>
      <c r="I35" s="144">
        <f>CHOOSE(TS!$P$15,I36,I37,I38,I39,I40)</f>
        <v>0.0312</v>
      </c>
      <c r="J35" s="144">
        <f>CHOOSE(TS!$P$15,J36,J37,J38,J39,J40)</f>
        <v>0.0312</v>
      </c>
      <c r="K35" s="144">
        <f>CHOOSE(TS!$P$15,K36,K37,K38,K39,K40)</f>
        <v>0.0312</v>
      </c>
      <c r="L35" s="144">
        <f>CHOOSE(TS!$P$15,L36,L37,L38,L39,L40)</f>
        <v>0.0312</v>
      </c>
      <c r="M35" s="144">
        <f>CHOOSE(TS!$P$15,M36,M37,M38,M39,M40)</f>
        <v>0.0312</v>
      </c>
    </row>
    <row r="36" spans="1:13">
      <c r="A36" s="105" t="str">
        <f>$A$8</f>
        <v>   Base</v>
      </c>
      <c r="B36" s="138">
        <v>1</v>
      </c>
      <c r="C36" s="119">
        <v>0.0312</v>
      </c>
      <c r="D36" s="119">
        <v>0.0312</v>
      </c>
      <c r="E36" s="119">
        <v>0.0312</v>
      </c>
      <c r="F36" s="119">
        <v>0.0312</v>
      </c>
      <c r="G36" s="119">
        <v>0.0312</v>
      </c>
      <c r="H36" s="119">
        <v>0.0312</v>
      </c>
      <c r="I36" s="170">
        <v>0.0312</v>
      </c>
      <c r="J36" s="170">
        <v>0.0312</v>
      </c>
      <c r="K36" s="170">
        <v>0.0312</v>
      </c>
      <c r="L36" s="170">
        <v>0.0312</v>
      </c>
      <c r="M36" s="170">
        <v>0.0312</v>
      </c>
    </row>
    <row r="37" spans="1:13">
      <c r="A37" s="105" t="str">
        <f>$A$9</f>
        <v>   Operational Improvements</v>
      </c>
      <c r="B37" s="138">
        <v>2</v>
      </c>
      <c r="C37" s="119">
        <v>0.0312</v>
      </c>
      <c r="D37" s="119">
        <v>0.0312</v>
      </c>
      <c r="E37" s="119">
        <v>0.0312</v>
      </c>
      <c r="F37" s="119">
        <v>0.0312</v>
      </c>
      <c r="G37" s="119">
        <v>0.0312</v>
      </c>
      <c r="H37" s="119">
        <v>0.0312</v>
      </c>
      <c r="I37" s="170">
        <v>0.0312</v>
      </c>
      <c r="J37" s="170">
        <v>0.0312</v>
      </c>
      <c r="K37" s="170">
        <v>0.0312</v>
      </c>
      <c r="L37" s="170">
        <v>0.0312</v>
      </c>
      <c r="M37" s="170">
        <v>0.0312</v>
      </c>
    </row>
    <row r="38" spans="1:13">
      <c r="A38" s="105" t="str">
        <f>$A$10</f>
        <v>   Major Stress</v>
      </c>
      <c r="B38" s="138">
        <v>3</v>
      </c>
      <c r="C38" s="119">
        <v>0.0312</v>
      </c>
      <c r="D38" s="119">
        <v>0.0312</v>
      </c>
      <c r="E38" s="119">
        <v>0.0312</v>
      </c>
      <c r="F38" s="119">
        <v>0.0312</v>
      </c>
      <c r="G38" s="119">
        <v>0.0312</v>
      </c>
      <c r="H38" s="119">
        <v>0.0312</v>
      </c>
      <c r="I38" s="170">
        <v>0.0312</v>
      </c>
      <c r="J38" s="170">
        <v>0.0312</v>
      </c>
      <c r="K38" s="170">
        <v>0.0312</v>
      </c>
      <c r="L38" s="170">
        <v>0.0312</v>
      </c>
      <c r="M38" s="170">
        <v>0.0312</v>
      </c>
    </row>
    <row r="39" spans="1:13">
      <c r="A39" s="105" t="str">
        <f>$A$11</f>
        <v>   Alternative Scenario 3</v>
      </c>
      <c r="B39" s="138">
        <v>4</v>
      </c>
      <c r="C39" s="149">
        <v>0.0312</v>
      </c>
      <c r="D39" s="149">
        <v>0.0312</v>
      </c>
      <c r="E39" s="149">
        <v>0.0312</v>
      </c>
      <c r="F39" s="149">
        <v>0.0312</v>
      </c>
      <c r="G39" s="149">
        <v>0.0312</v>
      </c>
      <c r="H39" s="149">
        <v>0.0312</v>
      </c>
      <c r="I39" s="171">
        <v>0.0312</v>
      </c>
      <c r="J39" s="171">
        <v>0.0312</v>
      </c>
      <c r="K39" s="171">
        <v>0.0312</v>
      </c>
      <c r="L39" s="171">
        <v>0.0312</v>
      </c>
      <c r="M39" s="171">
        <v>0.0312</v>
      </c>
    </row>
    <row r="40" spans="1:13">
      <c r="A40" s="105" t="str">
        <f>$A$12</f>
        <v>   Alternative Scenario 4</v>
      </c>
      <c r="B40" s="138">
        <v>5</v>
      </c>
      <c r="C40" s="150">
        <v>0.0312</v>
      </c>
      <c r="D40" s="150">
        <v>0.0312</v>
      </c>
      <c r="E40" s="150">
        <v>0.0312</v>
      </c>
      <c r="F40" s="150">
        <v>0.0312</v>
      </c>
      <c r="G40" s="150">
        <v>0.0312</v>
      </c>
      <c r="H40" s="150">
        <v>0.0312</v>
      </c>
      <c r="I40" s="172">
        <v>0.0312</v>
      </c>
      <c r="J40" s="172">
        <v>0.0312</v>
      </c>
      <c r="K40" s="172">
        <v>0.0312</v>
      </c>
      <c r="L40" s="172">
        <v>0.0312</v>
      </c>
      <c r="M40" s="172">
        <v>0.0312</v>
      </c>
    </row>
    <row r="41" spans="1:13">
      <c r="A41" s="152"/>
      <c r="B41" s="153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</row>
    <row r="42" spans="1:13">
      <c r="A42" s="155" t="s">
        <v>264</v>
      </c>
      <c r="B42" s="138"/>
      <c r="C42" s="144">
        <f>CHOOSE(TS!$P$15,C43,C44,C45,C46,C47)</f>
        <v>0.0117</v>
      </c>
      <c r="D42" s="144">
        <f>CHOOSE(TS!$P$15,D43,D44,D45,D46,D47)</f>
        <v>0.0117</v>
      </c>
      <c r="E42" s="144">
        <f>CHOOSE(TS!$P$15,E43,E44,E45,E46,E47)</f>
        <v>0.0117</v>
      </c>
      <c r="F42" s="144">
        <f>CHOOSE(TS!$P$15,F43,F44,F45,F46,F47)</f>
        <v>0.0117</v>
      </c>
      <c r="G42" s="144">
        <f>CHOOSE(TS!$P$15,G43,G44,G45,G46,G47)</f>
        <v>0.0117</v>
      </c>
      <c r="H42" s="144">
        <f>CHOOSE(TS!$P$15,H43,H44,H45,H46,H47)</f>
        <v>0.0117</v>
      </c>
      <c r="I42" s="144">
        <f>CHOOSE(TS!$P$15,I43,I44,I45,I46,I47)</f>
        <v>0.0117</v>
      </c>
      <c r="J42" s="144">
        <f>CHOOSE(TS!$P$15,J43,J44,J45,J46,J47)</f>
        <v>0.0117</v>
      </c>
      <c r="K42" s="144">
        <f>CHOOSE(TS!$P$15,K43,K44,K45,K46,K47)</f>
        <v>0.0117</v>
      </c>
      <c r="L42" s="144">
        <f>CHOOSE(TS!$P$15,L43,L44,L45,L46,L47)</f>
        <v>0.0117</v>
      </c>
      <c r="M42" s="144">
        <f>CHOOSE(TS!$P$15,M43,M44,M45,M46,M47)</f>
        <v>0.0117</v>
      </c>
    </row>
    <row r="43" spans="1:13">
      <c r="A43" s="105" t="str">
        <f>$A$8</f>
        <v>   Base</v>
      </c>
      <c r="B43" s="138">
        <v>1</v>
      </c>
      <c r="C43" s="119">
        <v>0.0117</v>
      </c>
      <c r="D43" s="119">
        <v>0.0117</v>
      </c>
      <c r="E43" s="119">
        <v>0.0117</v>
      </c>
      <c r="F43" s="119">
        <v>0.0117</v>
      </c>
      <c r="G43" s="119">
        <v>0.0117</v>
      </c>
      <c r="H43" s="119">
        <v>0.0117</v>
      </c>
      <c r="I43" s="170">
        <v>0.0117</v>
      </c>
      <c r="J43" s="170">
        <v>0.0117</v>
      </c>
      <c r="K43" s="170">
        <v>0.0117</v>
      </c>
      <c r="L43" s="170">
        <v>0.0117</v>
      </c>
      <c r="M43" s="170">
        <v>0.0117</v>
      </c>
    </row>
    <row r="44" spans="1:13">
      <c r="A44" s="105" t="str">
        <f>$A$9</f>
        <v>   Operational Improvements</v>
      </c>
      <c r="B44" s="138">
        <v>2</v>
      </c>
      <c r="C44" s="119">
        <v>0.0117</v>
      </c>
      <c r="D44" s="119">
        <v>0.0117</v>
      </c>
      <c r="E44" s="119">
        <v>0.0117</v>
      </c>
      <c r="F44" s="119">
        <v>0.0117</v>
      </c>
      <c r="G44" s="119">
        <v>0.0117</v>
      </c>
      <c r="H44" s="119">
        <v>0.0117</v>
      </c>
      <c r="I44" s="170">
        <v>0.0117</v>
      </c>
      <c r="J44" s="170">
        <v>0.0117</v>
      </c>
      <c r="K44" s="170">
        <v>0.0117</v>
      </c>
      <c r="L44" s="170">
        <v>0.0117</v>
      </c>
      <c r="M44" s="170">
        <v>0.0117</v>
      </c>
    </row>
    <row r="45" spans="1:13">
      <c r="A45" s="105" t="str">
        <f>$A$10</f>
        <v>   Major Stress</v>
      </c>
      <c r="B45" s="138">
        <v>3</v>
      </c>
      <c r="C45" s="149">
        <f t="shared" ref="C45:M45" si="4">+C43</f>
        <v>0.0117</v>
      </c>
      <c r="D45" s="156">
        <f t="shared" si="4"/>
        <v>0.0117</v>
      </c>
      <c r="E45" s="156">
        <f t="shared" si="4"/>
        <v>0.0117</v>
      </c>
      <c r="F45" s="156">
        <f t="shared" si="4"/>
        <v>0.0117</v>
      </c>
      <c r="G45" s="156">
        <f t="shared" si="4"/>
        <v>0.0117</v>
      </c>
      <c r="H45" s="156">
        <f t="shared" si="4"/>
        <v>0.0117</v>
      </c>
      <c r="I45" s="166">
        <f t="shared" si="4"/>
        <v>0.0117</v>
      </c>
      <c r="J45" s="166">
        <f t="shared" si="4"/>
        <v>0.0117</v>
      </c>
      <c r="K45" s="166">
        <f t="shared" si="4"/>
        <v>0.0117</v>
      </c>
      <c r="L45" s="166">
        <f t="shared" si="4"/>
        <v>0.0117</v>
      </c>
      <c r="M45" s="173">
        <f t="shared" si="4"/>
        <v>0.0117</v>
      </c>
    </row>
    <row r="46" spans="1:13">
      <c r="A46" s="105" t="str">
        <f>$A$11</f>
        <v>   Alternative Scenario 3</v>
      </c>
      <c r="B46" s="138">
        <v>4</v>
      </c>
      <c r="C46" s="149">
        <f t="shared" ref="C46:M46" si="5">+C43</f>
        <v>0.0117</v>
      </c>
      <c r="D46" s="156">
        <f t="shared" si="5"/>
        <v>0.0117</v>
      </c>
      <c r="E46" s="156">
        <f t="shared" si="5"/>
        <v>0.0117</v>
      </c>
      <c r="F46" s="156">
        <f t="shared" si="5"/>
        <v>0.0117</v>
      </c>
      <c r="G46" s="156">
        <f t="shared" si="5"/>
        <v>0.0117</v>
      </c>
      <c r="H46" s="156">
        <f t="shared" si="5"/>
        <v>0.0117</v>
      </c>
      <c r="I46" s="166">
        <f t="shared" si="5"/>
        <v>0.0117</v>
      </c>
      <c r="J46" s="166">
        <f t="shared" si="5"/>
        <v>0.0117</v>
      </c>
      <c r="K46" s="166">
        <f t="shared" si="5"/>
        <v>0.0117</v>
      </c>
      <c r="L46" s="166">
        <f t="shared" si="5"/>
        <v>0.0117</v>
      </c>
      <c r="M46" s="173">
        <f t="shared" si="5"/>
        <v>0.0117</v>
      </c>
    </row>
    <row r="47" spans="1:13">
      <c r="A47" s="105" t="str">
        <f>$A$12</f>
        <v>   Alternative Scenario 4</v>
      </c>
      <c r="B47" s="138">
        <v>5</v>
      </c>
      <c r="C47" s="150">
        <f t="shared" ref="C47:M47" si="6">C43</f>
        <v>0.0117</v>
      </c>
      <c r="D47" s="150">
        <f t="shared" si="6"/>
        <v>0.0117</v>
      </c>
      <c r="E47" s="150">
        <f t="shared" si="6"/>
        <v>0.0117</v>
      </c>
      <c r="F47" s="150">
        <f t="shared" si="6"/>
        <v>0.0117</v>
      </c>
      <c r="G47" s="150">
        <f t="shared" si="6"/>
        <v>0.0117</v>
      </c>
      <c r="H47" s="150">
        <f t="shared" si="6"/>
        <v>0.0117</v>
      </c>
      <c r="I47" s="172">
        <f t="shared" si="6"/>
        <v>0.0117</v>
      </c>
      <c r="J47" s="172">
        <f t="shared" si="6"/>
        <v>0.0117</v>
      </c>
      <c r="K47" s="172">
        <f t="shared" si="6"/>
        <v>0.0117</v>
      </c>
      <c r="L47" s="172">
        <f t="shared" si="6"/>
        <v>0.0117</v>
      </c>
      <c r="M47" s="172">
        <f t="shared" si="6"/>
        <v>0.0117</v>
      </c>
    </row>
    <row r="48" spans="1:13">
      <c r="A48" s="105"/>
      <c r="B48" s="13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</row>
    <row r="49" spans="1:13">
      <c r="A49" s="155" t="s">
        <v>111</v>
      </c>
      <c r="B49" s="138"/>
      <c r="C49" s="144">
        <f>CHOOSE(TS!$P$15,C50,C51,C52,C53,C54)</f>
        <v>0.313</v>
      </c>
      <c r="D49" s="144">
        <f>CHOOSE(TS!$P$15,D50,D51,D52,D53,D54)</f>
        <v>0.313</v>
      </c>
      <c r="E49" s="144">
        <f>CHOOSE(TS!$P$15,E50,E51,E52,E53,E54)</f>
        <v>0.313</v>
      </c>
      <c r="F49" s="144">
        <f>CHOOSE(TS!$P$15,F50,F51,F52,F53,F54)</f>
        <v>0.313</v>
      </c>
      <c r="G49" s="144">
        <f>CHOOSE(TS!$P$15,G50,G51,G52,G53,G54)</f>
        <v>0.313</v>
      </c>
      <c r="H49" s="144">
        <f>CHOOSE(TS!$P$15,H50,H51,H52,H53,H54)</f>
        <v>0.313</v>
      </c>
      <c r="I49" s="144">
        <f>CHOOSE(TS!$P$15,I50,I51,I52,I53,I54)</f>
        <v>0.313</v>
      </c>
      <c r="J49" s="144">
        <f>CHOOSE(TS!$P$15,J50,J51,J52,J53,J54)</f>
        <v>0.313</v>
      </c>
      <c r="K49" s="144">
        <f>CHOOSE(TS!$P$15,K50,K51,K52,K53,K54)</f>
        <v>0.313</v>
      </c>
      <c r="L49" s="144">
        <f>CHOOSE(TS!$P$15,L50,L51,L52,L53,L54)</f>
        <v>0.313</v>
      </c>
      <c r="M49" s="144">
        <f>CHOOSE(TS!$P$15,M50,M51,M52,M53,M54)</f>
        <v>0.313</v>
      </c>
    </row>
    <row r="50" spans="1:13">
      <c r="A50" s="105" t="str">
        <f>$A$8</f>
        <v>   Base</v>
      </c>
      <c r="B50" s="138">
        <v>1</v>
      </c>
      <c r="C50" s="119">
        <v>0.313</v>
      </c>
      <c r="D50" s="119">
        <v>0.313</v>
      </c>
      <c r="E50" s="119">
        <v>0.313</v>
      </c>
      <c r="F50" s="119">
        <v>0.313</v>
      </c>
      <c r="G50" s="119">
        <v>0.313</v>
      </c>
      <c r="H50" s="119">
        <v>0.313</v>
      </c>
      <c r="I50" s="170">
        <v>0.313</v>
      </c>
      <c r="J50" s="170">
        <v>0.313</v>
      </c>
      <c r="K50" s="170">
        <v>0.313</v>
      </c>
      <c r="L50" s="170">
        <v>0.313</v>
      </c>
      <c r="M50" s="170">
        <v>0.313</v>
      </c>
    </row>
    <row r="51" spans="1:13">
      <c r="A51" s="105" t="str">
        <f>$A$9</f>
        <v>   Operational Improvements</v>
      </c>
      <c r="B51" s="138">
        <v>2</v>
      </c>
      <c r="C51" s="119">
        <v>0.313</v>
      </c>
      <c r="D51" s="119">
        <v>0.313</v>
      </c>
      <c r="E51" s="119">
        <v>0.313</v>
      </c>
      <c r="F51" s="119">
        <v>0.313</v>
      </c>
      <c r="G51" s="119">
        <v>0.313</v>
      </c>
      <c r="H51" s="119">
        <v>0.313</v>
      </c>
      <c r="I51" s="170">
        <v>0.313</v>
      </c>
      <c r="J51" s="170">
        <v>0.313</v>
      </c>
      <c r="K51" s="170">
        <v>0.313</v>
      </c>
      <c r="L51" s="170">
        <v>0.313</v>
      </c>
      <c r="M51" s="170">
        <v>0.313</v>
      </c>
    </row>
    <row r="52" spans="1:13">
      <c r="A52" s="105" t="str">
        <f>$A$10</f>
        <v>   Major Stress</v>
      </c>
      <c r="B52" s="138">
        <v>3</v>
      </c>
      <c r="C52" s="149">
        <f t="shared" ref="C52:M52" si="7">+C50</f>
        <v>0.313</v>
      </c>
      <c r="D52" s="156">
        <f t="shared" si="7"/>
        <v>0.313</v>
      </c>
      <c r="E52" s="156">
        <f t="shared" si="7"/>
        <v>0.313</v>
      </c>
      <c r="F52" s="156">
        <f t="shared" si="7"/>
        <v>0.313</v>
      </c>
      <c r="G52" s="156">
        <f t="shared" si="7"/>
        <v>0.313</v>
      </c>
      <c r="H52" s="156">
        <f t="shared" si="7"/>
        <v>0.313</v>
      </c>
      <c r="I52" s="166">
        <f t="shared" si="7"/>
        <v>0.313</v>
      </c>
      <c r="J52" s="166">
        <f t="shared" si="7"/>
        <v>0.313</v>
      </c>
      <c r="K52" s="166">
        <f t="shared" si="7"/>
        <v>0.313</v>
      </c>
      <c r="L52" s="166">
        <f t="shared" si="7"/>
        <v>0.313</v>
      </c>
      <c r="M52" s="173">
        <f t="shared" si="7"/>
        <v>0.313</v>
      </c>
    </row>
    <row r="53" spans="1:13">
      <c r="A53" s="105" t="str">
        <f>$A$11</f>
        <v>   Alternative Scenario 3</v>
      </c>
      <c r="B53" s="138">
        <v>4</v>
      </c>
      <c r="C53" s="149">
        <f t="shared" ref="C53:M53" si="8">+C50</f>
        <v>0.313</v>
      </c>
      <c r="D53" s="156">
        <f t="shared" si="8"/>
        <v>0.313</v>
      </c>
      <c r="E53" s="156">
        <f t="shared" si="8"/>
        <v>0.313</v>
      </c>
      <c r="F53" s="156">
        <f t="shared" si="8"/>
        <v>0.313</v>
      </c>
      <c r="G53" s="156">
        <f t="shared" si="8"/>
        <v>0.313</v>
      </c>
      <c r="H53" s="156">
        <f t="shared" si="8"/>
        <v>0.313</v>
      </c>
      <c r="I53" s="166">
        <f t="shared" si="8"/>
        <v>0.313</v>
      </c>
      <c r="J53" s="166">
        <f t="shared" si="8"/>
        <v>0.313</v>
      </c>
      <c r="K53" s="166">
        <f t="shared" si="8"/>
        <v>0.313</v>
      </c>
      <c r="L53" s="166">
        <f t="shared" si="8"/>
        <v>0.313</v>
      </c>
      <c r="M53" s="173">
        <f t="shared" si="8"/>
        <v>0.313</v>
      </c>
    </row>
    <row r="54" spans="1:13">
      <c r="A54" s="105" t="str">
        <f>$A$12</f>
        <v>   Alternative Scenario 4</v>
      </c>
      <c r="B54" s="138">
        <v>5</v>
      </c>
      <c r="C54" s="150">
        <f t="shared" ref="C54:M54" si="9">C51</f>
        <v>0.313</v>
      </c>
      <c r="D54" s="150">
        <f t="shared" si="9"/>
        <v>0.313</v>
      </c>
      <c r="E54" s="150">
        <f t="shared" si="9"/>
        <v>0.313</v>
      </c>
      <c r="F54" s="150">
        <f t="shared" si="9"/>
        <v>0.313</v>
      </c>
      <c r="G54" s="150">
        <f t="shared" si="9"/>
        <v>0.313</v>
      </c>
      <c r="H54" s="150">
        <f t="shared" si="9"/>
        <v>0.313</v>
      </c>
      <c r="I54" s="172">
        <f t="shared" si="9"/>
        <v>0.313</v>
      </c>
      <c r="J54" s="172">
        <f t="shared" si="9"/>
        <v>0.313</v>
      </c>
      <c r="K54" s="172">
        <f t="shared" si="9"/>
        <v>0.313</v>
      </c>
      <c r="L54" s="172">
        <f t="shared" si="9"/>
        <v>0.313</v>
      </c>
      <c r="M54" s="172">
        <f t="shared" si="9"/>
        <v>0.313</v>
      </c>
    </row>
    <row r="55" spans="1:13">
      <c r="A55" s="137"/>
      <c r="B55" s="138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</row>
    <row r="56" spans="1:13">
      <c r="A56" s="109" t="s">
        <v>265</v>
      </c>
      <c r="B56" s="110"/>
      <c r="C56" s="158"/>
      <c r="D56" s="158"/>
      <c r="E56" s="158"/>
      <c r="F56" s="158"/>
      <c r="G56" s="159"/>
      <c r="H56" s="159"/>
      <c r="I56" s="159"/>
      <c r="J56" s="159"/>
      <c r="K56" s="159"/>
      <c r="L56" s="159"/>
      <c r="M56" s="159"/>
    </row>
    <row r="57" spans="1:13">
      <c r="A57" s="160" t="s">
        <v>266</v>
      </c>
      <c r="B57" s="138"/>
      <c r="C57" s="144">
        <f>CHOOSE(TS!$P$15,C58,C59,C60,C61,C62)</f>
        <v>0.036</v>
      </c>
      <c r="D57" s="144">
        <f>CHOOSE(TS!$P$15,D58,D59,D60,D61,D62)</f>
        <v>0.036</v>
      </c>
      <c r="E57" s="144">
        <f>CHOOSE(TS!$P$15,E58,E59,E60,E61,E62)</f>
        <v>0.036</v>
      </c>
      <c r="F57" s="144">
        <f>CHOOSE(TS!$P$15,F58,F59,F60,F61,F62)</f>
        <v>0.036</v>
      </c>
      <c r="G57" s="144">
        <f>CHOOSE(TS!$P$15,G58,G59,G60,G61,G62)</f>
        <v>0.036</v>
      </c>
      <c r="H57" s="144">
        <f>CHOOSE(TS!$P$15,H58,H59,H60,H61,H62)</f>
        <v>0.036</v>
      </c>
      <c r="I57" s="144">
        <f>CHOOSE(TS!$P$15,I58,I59,I60,I61,I62)</f>
        <v>0.036</v>
      </c>
      <c r="J57" s="144">
        <f>CHOOSE(TS!$P$15,J58,J59,J60,J61,J62)</f>
        <v>0.036</v>
      </c>
      <c r="K57" s="144">
        <f>CHOOSE(TS!$P$15,K58,K59,K60,K61,K62)</f>
        <v>0.036</v>
      </c>
      <c r="L57" s="144">
        <f>CHOOSE(TS!$P$15,L58,L59,L60,L61,L62)</f>
        <v>0.036</v>
      </c>
      <c r="M57" s="144">
        <f>CHOOSE(TS!$P$15,M58,M59,M60,M61,M62)</f>
        <v>0.036</v>
      </c>
    </row>
    <row r="58" spans="1:13">
      <c r="A58" s="105" t="str">
        <f>$A$8</f>
        <v>   Base</v>
      </c>
      <c r="B58" s="138">
        <v>1</v>
      </c>
      <c r="C58" s="119">
        <v>0.036</v>
      </c>
      <c r="D58" s="119">
        <v>0.036</v>
      </c>
      <c r="E58" s="119">
        <v>0.036</v>
      </c>
      <c r="F58" s="119">
        <v>0.036</v>
      </c>
      <c r="G58" s="119">
        <v>0.036</v>
      </c>
      <c r="H58" s="119">
        <v>0.036</v>
      </c>
      <c r="I58" s="170">
        <v>0.036</v>
      </c>
      <c r="J58" s="170">
        <v>0.036</v>
      </c>
      <c r="K58" s="170">
        <v>0.036</v>
      </c>
      <c r="L58" s="170">
        <v>0.036</v>
      </c>
      <c r="M58" s="170">
        <v>0.036</v>
      </c>
    </row>
    <row r="59" spans="1:13">
      <c r="A59" s="105" t="str">
        <f>$A$9</f>
        <v>   Operational Improvements</v>
      </c>
      <c r="B59" s="138">
        <v>2</v>
      </c>
      <c r="C59" s="119">
        <v>0.036</v>
      </c>
      <c r="D59" s="119">
        <v>0.036</v>
      </c>
      <c r="E59" s="119">
        <v>0.036</v>
      </c>
      <c r="F59" s="119">
        <v>0.036</v>
      </c>
      <c r="G59" s="119">
        <v>0.036</v>
      </c>
      <c r="H59" s="119">
        <v>0.036</v>
      </c>
      <c r="I59" s="170">
        <v>0.036</v>
      </c>
      <c r="J59" s="170">
        <v>0.036</v>
      </c>
      <c r="K59" s="170">
        <v>0.036</v>
      </c>
      <c r="L59" s="170">
        <v>0.036</v>
      </c>
      <c r="M59" s="170">
        <v>0.036</v>
      </c>
    </row>
    <row r="60" spans="1:13">
      <c r="A60" s="105" t="str">
        <f>$A$10</f>
        <v>   Major Stress</v>
      </c>
      <c r="B60" s="138">
        <v>3</v>
      </c>
      <c r="C60" s="149">
        <v>0.036</v>
      </c>
      <c r="D60" s="149">
        <v>0.036</v>
      </c>
      <c r="E60" s="149">
        <v>0.036</v>
      </c>
      <c r="F60" s="149">
        <v>0.036</v>
      </c>
      <c r="G60" s="149">
        <v>0.036</v>
      </c>
      <c r="H60" s="149">
        <v>0.036</v>
      </c>
      <c r="I60" s="171">
        <v>0.036</v>
      </c>
      <c r="J60" s="171">
        <v>0.036</v>
      </c>
      <c r="K60" s="171">
        <v>0.036</v>
      </c>
      <c r="L60" s="171">
        <v>0.036</v>
      </c>
      <c r="M60" s="171">
        <v>0.036</v>
      </c>
    </row>
    <row r="61" spans="1:13">
      <c r="A61" s="105" t="str">
        <f>$A$11</f>
        <v>   Alternative Scenario 3</v>
      </c>
      <c r="B61" s="138">
        <v>4</v>
      </c>
      <c r="C61" s="149">
        <v>0.036</v>
      </c>
      <c r="D61" s="149">
        <v>0.036</v>
      </c>
      <c r="E61" s="149">
        <v>0.036</v>
      </c>
      <c r="F61" s="149">
        <v>0.036</v>
      </c>
      <c r="G61" s="149">
        <v>0.036</v>
      </c>
      <c r="H61" s="149">
        <v>0.036</v>
      </c>
      <c r="I61" s="171">
        <v>0.036</v>
      </c>
      <c r="J61" s="171">
        <v>0.036</v>
      </c>
      <c r="K61" s="171">
        <v>0.036</v>
      </c>
      <c r="L61" s="171">
        <v>0.036</v>
      </c>
      <c r="M61" s="171">
        <v>0.036</v>
      </c>
    </row>
    <row r="62" spans="1:13">
      <c r="A62" s="105" t="str">
        <f>$A$12</f>
        <v>   Alternative Scenario 4</v>
      </c>
      <c r="B62" s="161">
        <v>5</v>
      </c>
      <c r="C62" s="150">
        <v>0.036</v>
      </c>
      <c r="D62" s="150">
        <v>0.036</v>
      </c>
      <c r="E62" s="150">
        <v>0.036</v>
      </c>
      <c r="F62" s="150">
        <v>0.036</v>
      </c>
      <c r="G62" s="150">
        <v>0.036</v>
      </c>
      <c r="H62" s="150">
        <v>0.036</v>
      </c>
      <c r="I62" s="172">
        <v>0.036</v>
      </c>
      <c r="J62" s="172">
        <v>0.036</v>
      </c>
      <c r="K62" s="172">
        <v>0.036</v>
      </c>
      <c r="L62" s="172">
        <v>0.036</v>
      </c>
      <c r="M62" s="172">
        <v>0.036</v>
      </c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48"/>
  <sheetViews>
    <sheetView workbookViewId="0">
      <selection activeCell="C1" sqref="C1"/>
    </sheetView>
  </sheetViews>
  <sheetFormatPr defaultColWidth="8.81481481481481" defaultRowHeight="14.4"/>
  <cols>
    <col min="1" max="1" width="42.4537037037037" customWidth="1"/>
    <col min="3" max="3" width="9.72222222222222" customWidth="1"/>
  </cols>
  <sheetData>
    <row r="1" ht="15.6" spans="1:13">
      <c r="A1" s="100" t="s">
        <v>267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>
      <c r="A2" s="101"/>
      <c r="B2" s="102"/>
      <c r="C2" s="103"/>
      <c r="D2" s="104" t="s">
        <v>55</v>
      </c>
      <c r="E2" s="104"/>
      <c r="F2" s="104"/>
      <c r="G2" s="104"/>
      <c r="H2" s="104"/>
      <c r="I2" s="104"/>
      <c r="J2" s="104"/>
      <c r="K2" s="104"/>
      <c r="L2" s="104"/>
      <c r="M2" s="103"/>
    </row>
    <row r="3" spans="1:13">
      <c r="A3" s="105"/>
      <c r="B3" s="102"/>
      <c r="C3" s="106" t="s">
        <v>241</v>
      </c>
      <c r="D3" s="106">
        <v>1</v>
      </c>
      <c r="E3" s="106">
        <v>2</v>
      </c>
      <c r="F3" s="106">
        <v>3</v>
      </c>
      <c r="G3" s="106">
        <v>4</v>
      </c>
      <c r="H3" s="106">
        <v>5</v>
      </c>
      <c r="I3" s="106">
        <v>6</v>
      </c>
      <c r="J3" s="106">
        <v>7</v>
      </c>
      <c r="K3" s="106">
        <v>8</v>
      </c>
      <c r="L3" s="106">
        <v>9</v>
      </c>
      <c r="M3" s="106">
        <v>10</v>
      </c>
    </row>
    <row r="4" spans="1:13">
      <c r="A4" s="105"/>
      <c r="B4" s="102"/>
      <c r="C4" s="107" t="s">
        <v>127</v>
      </c>
      <c r="D4" s="107">
        <f>+TS!G24</f>
        <v>2025</v>
      </c>
      <c r="E4" s="107">
        <f>+TS!H24</f>
        <v>2026</v>
      </c>
      <c r="F4" s="107">
        <f>+TS!I24</f>
        <v>2027</v>
      </c>
      <c r="G4" s="107">
        <f>+TS!J24</f>
        <v>2028</v>
      </c>
      <c r="H4" s="107">
        <f>+TS!K24</f>
        <v>2029</v>
      </c>
      <c r="I4" s="107">
        <f>+TS!L24</f>
        <v>2030</v>
      </c>
      <c r="J4" s="107">
        <f>+TS!M24</f>
        <v>2031</v>
      </c>
      <c r="K4" s="107">
        <f>+TS!N24</f>
        <v>2032</v>
      </c>
      <c r="L4" s="107">
        <f>+TS!O24</f>
        <v>2033</v>
      </c>
      <c r="M4" s="107">
        <f>+TS!P24</f>
        <v>2034</v>
      </c>
    </row>
    <row r="5" spans="1:13">
      <c r="A5" s="105"/>
      <c r="B5" s="102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>
      <c r="A6" s="109" t="s">
        <v>156</v>
      </c>
      <c r="B6" s="110"/>
      <c r="C6" s="110"/>
      <c r="D6" s="110"/>
      <c r="E6" s="110"/>
      <c r="F6" s="110"/>
      <c r="G6" s="111"/>
      <c r="H6" s="111"/>
      <c r="I6" s="111"/>
      <c r="J6" s="111"/>
      <c r="K6" s="111"/>
      <c r="L6" s="111"/>
      <c r="M6" s="111"/>
    </row>
    <row r="7" spans="1:13">
      <c r="A7" s="112" t="s">
        <v>157</v>
      </c>
      <c r="B7" s="102"/>
      <c r="C7" s="113">
        <f>CHOOSE(TS!$P$15,C8,C9,C10,C11,C12)</f>
        <v>64</v>
      </c>
      <c r="D7" s="113">
        <f>CHOOSE(TS!$P$15,D8,D9,D10,D11,D12)</f>
        <v>64</v>
      </c>
      <c r="E7" s="113">
        <f>CHOOSE(TS!$P$15,E8,E9,E10,E11,E12)</f>
        <v>64</v>
      </c>
      <c r="F7" s="113">
        <f>CHOOSE(TS!$P$15,F8,F9,F10,F11,F12)</f>
        <v>64</v>
      </c>
      <c r="G7" s="113">
        <f>CHOOSE(TS!$P$15,G8,G9,G10,G11,G12)</f>
        <v>64</v>
      </c>
      <c r="H7" s="113">
        <f>CHOOSE(TS!$P$15,H8,H9,H10,H11,H12)</f>
        <v>64</v>
      </c>
      <c r="I7" s="113">
        <f>CHOOSE(TS!$P$15,I8,I9,I10,I11,I12)</f>
        <v>64</v>
      </c>
      <c r="J7" s="113">
        <f>CHOOSE(TS!$P$15,J8,J9,J10,J11,J12)</f>
        <v>64</v>
      </c>
      <c r="K7" s="113">
        <f>CHOOSE(TS!$P$15,K8,K9,K10,K11,K12)</f>
        <v>64</v>
      </c>
      <c r="L7" s="113">
        <f>CHOOSE(TS!$P$15,L8,L9,L10,L11,L12)</f>
        <v>64</v>
      </c>
      <c r="M7" s="113">
        <f>CHOOSE(TS!$P$15,M8,M9,M10,M11,M12)</f>
        <v>64</v>
      </c>
    </row>
    <row r="8" spans="1:13">
      <c r="A8" s="105" t="str">
        <f>'A1'!A8</f>
        <v>   Base</v>
      </c>
      <c r="B8" s="102">
        <v>1</v>
      </c>
      <c r="C8" s="114">
        <v>64</v>
      </c>
      <c r="D8" s="114">
        <v>64</v>
      </c>
      <c r="E8" s="114">
        <v>64</v>
      </c>
      <c r="F8" s="114">
        <v>64</v>
      </c>
      <c r="G8" s="114">
        <v>64</v>
      </c>
      <c r="H8" s="114">
        <v>64</v>
      </c>
      <c r="I8" s="114">
        <v>64</v>
      </c>
      <c r="J8" s="114">
        <v>64</v>
      </c>
      <c r="K8" s="114">
        <v>64</v>
      </c>
      <c r="L8" s="114">
        <v>64</v>
      </c>
      <c r="M8" s="114">
        <v>64</v>
      </c>
    </row>
    <row r="9" spans="1:13">
      <c r="A9" s="105" t="str">
        <f>'A1'!A9</f>
        <v>   Operational Improvements</v>
      </c>
      <c r="B9" s="102">
        <v>2</v>
      </c>
      <c r="C9" s="115">
        <f t="shared" ref="C9:M9" si="0">C8-1</f>
        <v>63</v>
      </c>
      <c r="D9" s="115">
        <f t="shared" si="0"/>
        <v>63</v>
      </c>
      <c r="E9" s="115">
        <f t="shared" si="0"/>
        <v>63</v>
      </c>
      <c r="F9" s="115">
        <f t="shared" si="0"/>
        <v>63</v>
      </c>
      <c r="G9" s="115">
        <f t="shared" si="0"/>
        <v>63</v>
      </c>
      <c r="H9" s="115">
        <f t="shared" si="0"/>
        <v>63</v>
      </c>
      <c r="I9" s="115">
        <f t="shared" si="0"/>
        <v>63</v>
      </c>
      <c r="J9" s="115">
        <f t="shared" si="0"/>
        <v>63</v>
      </c>
      <c r="K9" s="115">
        <f t="shared" si="0"/>
        <v>63</v>
      </c>
      <c r="L9" s="115">
        <f t="shared" si="0"/>
        <v>63</v>
      </c>
      <c r="M9" s="115">
        <f t="shared" si="0"/>
        <v>63</v>
      </c>
    </row>
    <row r="10" spans="1:13">
      <c r="A10" s="105" t="str">
        <f>'A1'!A10</f>
        <v>   Major Stress</v>
      </c>
      <c r="B10" s="102">
        <v>3</v>
      </c>
      <c r="C10" s="115">
        <f t="shared" ref="C10:M10" si="1">C8+3</f>
        <v>67</v>
      </c>
      <c r="D10" s="115">
        <f t="shared" si="1"/>
        <v>67</v>
      </c>
      <c r="E10" s="115">
        <f t="shared" si="1"/>
        <v>67</v>
      </c>
      <c r="F10" s="115">
        <f t="shared" si="1"/>
        <v>67</v>
      </c>
      <c r="G10" s="115">
        <f t="shared" si="1"/>
        <v>67</v>
      </c>
      <c r="H10" s="115">
        <f t="shared" si="1"/>
        <v>67</v>
      </c>
      <c r="I10" s="115">
        <f t="shared" si="1"/>
        <v>67</v>
      </c>
      <c r="J10" s="115">
        <f t="shared" si="1"/>
        <v>67</v>
      </c>
      <c r="K10" s="115">
        <f t="shared" si="1"/>
        <v>67</v>
      </c>
      <c r="L10" s="115">
        <f t="shared" si="1"/>
        <v>67</v>
      </c>
      <c r="M10" s="115">
        <f t="shared" si="1"/>
        <v>67</v>
      </c>
    </row>
    <row r="11" spans="1:13">
      <c r="A11" s="105" t="str">
        <f>'A1'!A11</f>
        <v>   Alternative Scenario 3</v>
      </c>
      <c r="B11" s="102">
        <v>4</v>
      </c>
      <c r="C11" s="115">
        <f t="shared" ref="C11:M11" si="2">C9</f>
        <v>63</v>
      </c>
      <c r="D11" s="115">
        <f t="shared" si="2"/>
        <v>63</v>
      </c>
      <c r="E11" s="115">
        <f t="shared" si="2"/>
        <v>63</v>
      </c>
      <c r="F11" s="115">
        <f t="shared" si="2"/>
        <v>63</v>
      </c>
      <c r="G11" s="115">
        <f t="shared" si="2"/>
        <v>63</v>
      </c>
      <c r="H11" s="115">
        <f t="shared" si="2"/>
        <v>63</v>
      </c>
      <c r="I11" s="115">
        <f t="shared" si="2"/>
        <v>63</v>
      </c>
      <c r="J11" s="115">
        <f t="shared" si="2"/>
        <v>63</v>
      </c>
      <c r="K11" s="115">
        <f t="shared" si="2"/>
        <v>63</v>
      </c>
      <c r="L11" s="115">
        <f t="shared" si="2"/>
        <v>63</v>
      </c>
      <c r="M11" s="115">
        <f t="shared" si="2"/>
        <v>63</v>
      </c>
    </row>
    <row r="12" spans="1:13">
      <c r="A12" s="105" t="str">
        <f>'A1'!A12</f>
        <v>   Alternative Scenario 4</v>
      </c>
      <c r="B12" s="102">
        <v>5</v>
      </c>
      <c r="C12" s="116">
        <f t="shared" ref="C12:M12" si="3">C9</f>
        <v>63</v>
      </c>
      <c r="D12" s="116">
        <f t="shared" si="3"/>
        <v>63</v>
      </c>
      <c r="E12" s="116">
        <f t="shared" si="3"/>
        <v>63</v>
      </c>
      <c r="F12" s="116">
        <f t="shared" si="3"/>
        <v>63</v>
      </c>
      <c r="G12" s="116">
        <f t="shared" si="3"/>
        <v>63</v>
      </c>
      <c r="H12" s="116">
        <f t="shared" si="3"/>
        <v>63</v>
      </c>
      <c r="I12" s="116">
        <f t="shared" si="3"/>
        <v>63</v>
      </c>
      <c r="J12" s="116">
        <f t="shared" si="3"/>
        <v>63</v>
      </c>
      <c r="K12" s="116">
        <f t="shared" si="3"/>
        <v>63</v>
      </c>
      <c r="L12" s="116">
        <f t="shared" si="3"/>
        <v>63</v>
      </c>
      <c r="M12" s="116">
        <f t="shared" si="3"/>
        <v>63</v>
      </c>
    </row>
    <row r="13" spans="1:13">
      <c r="A13" s="105"/>
      <c r="B13" s="102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</row>
    <row r="14" spans="1:13">
      <c r="A14" s="112" t="s">
        <v>158</v>
      </c>
      <c r="B14" s="102"/>
      <c r="C14" s="113">
        <f>CHOOSE(TS!$P$15,C15,C16,C17,C18,C19)</f>
        <v>150</v>
      </c>
      <c r="D14" s="113">
        <f>CHOOSE(TS!$P$15,D15,D16,D17,D18,D19)</f>
        <v>150</v>
      </c>
      <c r="E14" s="113">
        <f>CHOOSE(TS!$P$15,E15,E16,E17,E18,E19)</f>
        <v>150</v>
      </c>
      <c r="F14" s="113">
        <f>CHOOSE(TS!$P$15,F15,F16,F17,F18,F19)</f>
        <v>150</v>
      </c>
      <c r="G14" s="113">
        <f>CHOOSE(TS!$P$15,G15,G16,G17,G18,G19)</f>
        <v>150</v>
      </c>
      <c r="H14" s="113">
        <f>CHOOSE(TS!$P$15,H15,H16,H17,H18,H19)</f>
        <v>150</v>
      </c>
      <c r="I14" s="113">
        <f>CHOOSE(TS!$P$15,I15,I16,I17,I18,I19)</f>
        <v>150</v>
      </c>
      <c r="J14" s="113">
        <f>CHOOSE(TS!$P$15,J15,J16,J17,J18,J19)</f>
        <v>150</v>
      </c>
      <c r="K14" s="113">
        <f>CHOOSE(TS!$P$15,K15,K16,K17,K18,K19)</f>
        <v>150</v>
      </c>
      <c r="L14" s="113">
        <f>CHOOSE(TS!$P$15,L15,L16,L17,L18,L19)</f>
        <v>150</v>
      </c>
      <c r="M14" s="113">
        <f>CHOOSE(TS!$P$15,M15,M16,M17,M18,M19)</f>
        <v>150</v>
      </c>
    </row>
    <row r="15" spans="1:13">
      <c r="A15" s="105" t="str">
        <f>$A$8</f>
        <v>   Base</v>
      </c>
      <c r="B15" s="102">
        <v>1</v>
      </c>
      <c r="C15" s="114">
        <v>150</v>
      </c>
      <c r="D15" s="114">
        <v>150</v>
      </c>
      <c r="E15" s="114">
        <v>150</v>
      </c>
      <c r="F15" s="114">
        <v>150</v>
      </c>
      <c r="G15" s="114">
        <v>150</v>
      </c>
      <c r="H15" s="114">
        <v>150</v>
      </c>
      <c r="I15" s="114">
        <v>150</v>
      </c>
      <c r="J15" s="114">
        <v>150</v>
      </c>
      <c r="K15" s="114">
        <v>150</v>
      </c>
      <c r="L15" s="114">
        <v>150</v>
      </c>
      <c r="M15" s="114">
        <v>150</v>
      </c>
    </row>
    <row r="16" spans="1:13">
      <c r="A16" s="105" t="str">
        <f>$A$9</f>
        <v>   Operational Improvements</v>
      </c>
      <c r="B16" s="102">
        <v>2</v>
      </c>
      <c r="C16" s="115">
        <f t="shared" ref="C16:M16" si="4">C15-5</f>
        <v>145</v>
      </c>
      <c r="D16" s="115">
        <f t="shared" si="4"/>
        <v>145</v>
      </c>
      <c r="E16" s="115">
        <f t="shared" si="4"/>
        <v>145</v>
      </c>
      <c r="F16" s="115">
        <f t="shared" si="4"/>
        <v>145</v>
      </c>
      <c r="G16" s="115">
        <f t="shared" si="4"/>
        <v>145</v>
      </c>
      <c r="H16" s="115">
        <f t="shared" si="4"/>
        <v>145</v>
      </c>
      <c r="I16" s="115">
        <f t="shared" si="4"/>
        <v>145</v>
      </c>
      <c r="J16" s="115">
        <f t="shared" si="4"/>
        <v>145</v>
      </c>
      <c r="K16" s="115">
        <f t="shared" si="4"/>
        <v>145</v>
      </c>
      <c r="L16" s="115">
        <f t="shared" si="4"/>
        <v>145</v>
      </c>
      <c r="M16" s="115">
        <f t="shared" si="4"/>
        <v>145</v>
      </c>
    </row>
    <row r="17" spans="1:13">
      <c r="A17" s="105" t="str">
        <f>$A$10</f>
        <v>   Major Stress</v>
      </c>
      <c r="B17" s="102">
        <v>3</v>
      </c>
      <c r="C17" s="115">
        <f t="shared" ref="C17:M17" si="5">C15+8</f>
        <v>158</v>
      </c>
      <c r="D17" s="115">
        <f t="shared" si="5"/>
        <v>158</v>
      </c>
      <c r="E17" s="115">
        <f t="shared" si="5"/>
        <v>158</v>
      </c>
      <c r="F17" s="115">
        <f t="shared" si="5"/>
        <v>158</v>
      </c>
      <c r="G17" s="115">
        <f t="shared" si="5"/>
        <v>158</v>
      </c>
      <c r="H17" s="115">
        <f t="shared" si="5"/>
        <v>158</v>
      </c>
      <c r="I17" s="115">
        <f t="shared" si="5"/>
        <v>158</v>
      </c>
      <c r="J17" s="115">
        <f t="shared" si="5"/>
        <v>158</v>
      </c>
      <c r="K17" s="115">
        <f t="shared" si="5"/>
        <v>158</v>
      </c>
      <c r="L17" s="115">
        <f t="shared" si="5"/>
        <v>158</v>
      </c>
      <c r="M17" s="115">
        <f t="shared" si="5"/>
        <v>158</v>
      </c>
    </row>
    <row r="18" spans="1:13">
      <c r="A18" s="105" t="str">
        <f>$A$11</f>
        <v>   Alternative Scenario 3</v>
      </c>
      <c r="B18" s="102">
        <v>4</v>
      </c>
      <c r="C18" s="115">
        <f t="shared" ref="C18:M18" si="6">C16+2</f>
        <v>147</v>
      </c>
      <c r="D18" s="115">
        <f t="shared" si="6"/>
        <v>147</v>
      </c>
      <c r="E18" s="115">
        <f t="shared" si="6"/>
        <v>147</v>
      </c>
      <c r="F18" s="115">
        <f t="shared" si="6"/>
        <v>147</v>
      </c>
      <c r="G18" s="115">
        <f t="shared" si="6"/>
        <v>147</v>
      </c>
      <c r="H18" s="115">
        <f t="shared" si="6"/>
        <v>147</v>
      </c>
      <c r="I18" s="115">
        <f t="shared" si="6"/>
        <v>147</v>
      </c>
      <c r="J18" s="115">
        <f t="shared" si="6"/>
        <v>147</v>
      </c>
      <c r="K18" s="115">
        <f t="shared" si="6"/>
        <v>147</v>
      </c>
      <c r="L18" s="115">
        <f t="shared" si="6"/>
        <v>147</v>
      </c>
      <c r="M18" s="115">
        <f t="shared" si="6"/>
        <v>147</v>
      </c>
    </row>
    <row r="19" spans="1:13">
      <c r="A19" s="105" t="str">
        <f>$A$12</f>
        <v>   Alternative Scenario 4</v>
      </c>
      <c r="B19" s="102">
        <v>5</v>
      </c>
      <c r="C19" s="116">
        <f t="shared" ref="C19:M19" si="7">C16+3</f>
        <v>148</v>
      </c>
      <c r="D19" s="116">
        <f t="shared" si="7"/>
        <v>148</v>
      </c>
      <c r="E19" s="116">
        <f t="shared" si="7"/>
        <v>148</v>
      </c>
      <c r="F19" s="116">
        <f t="shared" si="7"/>
        <v>148</v>
      </c>
      <c r="G19" s="116">
        <f t="shared" si="7"/>
        <v>148</v>
      </c>
      <c r="H19" s="116">
        <f t="shared" si="7"/>
        <v>148</v>
      </c>
      <c r="I19" s="116">
        <f t="shared" si="7"/>
        <v>148</v>
      </c>
      <c r="J19" s="116">
        <f t="shared" si="7"/>
        <v>148</v>
      </c>
      <c r="K19" s="116">
        <f t="shared" si="7"/>
        <v>148</v>
      </c>
      <c r="L19" s="116">
        <f t="shared" si="7"/>
        <v>148</v>
      </c>
      <c r="M19" s="116">
        <f t="shared" si="7"/>
        <v>148</v>
      </c>
    </row>
    <row r="20" spans="1:13">
      <c r="A20" s="105"/>
      <c r="B20" s="102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  <row r="21" spans="1:13">
      <c r="A21" s="112" t="s">
        <v>268</v>
      </c>
      <c r="B21" s="102"/>
      <c r="C21" s="118">
        <f>CHOOSE(TS!$P$15,C22,C23,C24,C25,C26)</f>
        <v>0.5046</v>
      </c>
      <c r="D21" s="118">
        <f>CHOOSE(TS!$P$15,D22,D23,D24,D25,D26)</f>
        <v>0.5046</v>
      </c>
      <c r="E21" s="118">
        <f>CHOOSE(TS!$P$15,E22,E23,E24,E25,E26)</f>
        <v>0.5046</v>
      </c>
      <c r="F21" s="118">
        <f>CHOOSE(TS!$P$15,F22,F23,F24,F25,F26)</f>
        <v>0.5046</v>
      </c>
      <c r="G21" s="118">
        <f>CHOOSE(TS!$P$15,G22,G23,G24,G25,G26)</f>
        <v>0.5046</v>
      </c>
      <c r="H21" s="118">
        <f>CHOOSE(TS!$P$15,H22,H23,H24,H25,H26)</f>
        <v>0.5046</v>
      </c>
      <c r="I21" s="118">
        <f>CHOOSE(TS!$P$15,I22,I23,I24,I25,I26)</f>
        <v>0.5046</v>
      </c>
      <c r="J21" s="118">
        <f>CHOOSE(TS!$P$15,J22,J23,J24,J25,J26)</f>
        <v>0.5046</v>
      </c>
      <c r="K21" s="118">
        <f>CHOOSE(TS!$P$15,K22,K23,K24,K25,K26)</f>
        <v>0.5046</v>
      </c>
      <c r="L21" s="118">
        <f>CHOOSE(TS!$P$15,L22,L23,L24,L25,L26)</f>
        <v>0.5046</v>
      </c>
      <c r="M21" s="118">
        <f>CHOOSE(TS!$P$15,M22,M23,M24,M25,M26)</f>
        <v>0.5046</v>
      </c>
    </row>
    <row r="22" spans="1:13">
      <c r="A22" s="105" t="str">
        <f>$A$8</f>
        <v>   Base</v>
      </c>
      <c r="B22" s="102">
        <v>1</v>
      </c>
      <c r="C22" s="119">
        <v>0.5046</v>
      </c>
      <c r="D22" s="119">
        <v>0.5046</v>
      </c>
      <c r="E22" s="119">
        <v>0.5046</v>
      </c>
      <c r="F22" s="119">
        <v>0.5046</v>
      </c>
      <c r="G22" s="119">
        <v>0.5046</v>
      </c>
      <c r="H22" s="119">
        <v>0.5046</v>
      </c>
      <c r="I22" s="119">
        <v>0.5046</v>
      </c>
      <c r="J22" s="119">
        <v>0.5046</v>
      </c>
      <c r="K22" s="119">
        <v>0.5046</v>
      </c>
      <c r="L22" s="119">
        <v>0.5046</v>
      </c>
      <c r="M22" s="119">
        <v>0.5046</v>
      </c>
    </row>
    <row r="23" spans="1:13">
      <c r="A23" s="105" t="str">
        <f>$A$9</f>
        <v>   Operational Improvements</v>
      </c>
      <c r="B23" s="102">
        <v>2</v>
      </c>
      <c r="C23" s="120">
        <f t="shared" ref="C23:M23" si="8">C22+2%</f>
        <v>0.5246</v>
      </c>
      <c r="D23" s="120">
        <f t="shared" si="8"/>
        <v>0.5246</v>
      </c>
      <c r="E23" s="120">
        <f t="shared" si="8"/>
        <v>0.5246</v>
      </c>
      <c r="F23" s="120">
        <f t="shared" si="8"/>
        <v>0.5246</v>
      </c>
      <c r="G23" s="120">
        <f t="shared" si="8"/>
        <v>0.5246</v>
      </c>
      <c r="H23" s="120">
        <f t="shared" si="8"/>
        <v>0.5246</v>
      </c>
      <c r="I23" s="120">
        <f t="shared" si="8"/>
        <v>0.5246</v>
      </c>
      <c r="J23" s="120">
        <f t="shared" si="8"/>
        <v>0.5246</v>
      </c>
      <c r="K23" s="120">
        <f t="shared" si="8"/>
        <v>0.5246</v>
      </c>
      <c r="L23" s="120">
        <f t="shared" si="8"/>
        <v>0.5246</v>
      </c>
      <c r="M23" s="120">
        <f t="shared" si="8"/>
        <v>0.5246</v>
      </c>
    </row>
    <row r="24" spans="1:13">
      <c r="A24" s="105" t="str">
        <f>$A$10</f>
        <v>   Major Stress</v>
      </c>
      <c r="B24" s="102">
        <v>3</v>
      </c>
      <c r="C24" s="120">
        <f t="shared" ref="C24:M24" si="9">C22-2.6%</f>
        <v>0.4786</v>
      </c>
      <c r="D24" s="120">
        <f t="shared" si="9"/>
        <v>0.4786</v>
      </c>
      <c r="E24" s="120">
        <f t="shared" si="9"/>
        <v>0.4786</v>
      </c>
      <c r="F24" s="120">
        <f t="shared" si="9"/>
        <v>0.4786</v>
      </c>
      <c r="G24" s="120">
        <f t="shared" si="9"/>
        <v>0.4786</v>
      </c>
      <c r="H24" s="120">
        <f t="shared" si="9"/>
        <v>0.4786</v>
      </c>
      <c r="I24" s="120">
        <f t="shared" si="9"/>
        <v>0.4786</v>
      </c>
      <c r="J24" s="120">
        <f t="shared" si="9"/>
        <v>0.4786</v>
      </c>
      <c r="K24" s="120">
        <f t="shared" si="9"/>
        <v>0.4786</v>
      </c>
      <c r="L24" s="120">
        <f t="shared" si="9"/>
        <v>0.4786</v>
      </c>
      <c r="M24" s="120">
        <f t="shared" si="9"/>
        <v>0.4786</v>
      </c>
    </row>
    <row r="25" spans="1:13">
      <c r="A25" s="105" t="str">
        <f>$A$11</f>
        <v>   Alternative Scenario 3</v>
      </c>
      <c r="B25" s="102">
        <v>4</v>
      </c>
      <c r="C25" s="120">
        <f t="shared" ref="C25:M25" si="10">C23+1%</f>
        <v>0.5346</v>
      </c>
      <c r="D25" s="120">
        <f t="shared" si="10"/>
        <v>0.5346</v>
      </c>
      <c r="E25" s="120">
        <f t="shared" si="10"/>
        <v>0.5346</v>
      </c>
      <c r="F25" s="120">
        <f t="shared" si="10"/>
        <v>0.5346</v>
      </c>
      <c r="G25" s="120">
        <f t="shared" si="10"/>
        <v>0.5346</v>
      </c>
      <c r="H25" s="120">
        <f t="shared" si="10"/>
        <v>0.5346</v>
      </c>
      <c r="I25" s="120">
        <f t="shared" si="10"/>
        <v>0.5346</v>
      </c>
      <c r="J25" s="120">
        <f t="shared" si="10"/>
        <v>0.5346</v>
      </c>
      <c r="K25" s="120">
        <f t="shared" si="10"/>
        <v>0.5346</v>
      </c>
      <c r="L25" s="120">
        <f t="shared" si="10"/>
        <v>0.5346</v>
      </c>
      <c r="M25" s="120">
        <f t="shared" si="10"/>
        <v>0.5346</v>
      </c>
    </row>
    <row r="26" spans="1:13">
      <c r="A26" s="105" t="str">
        <f>$A$12</f>
        <v>   Alternative Scenario 4</v>
      </c>
      <c r="B26" s="102">
        <v>5</v>
      </c>
      <c r="C26" s="121">
        <f t="shared" ref="C26:M26" si="11">C23-1%</f>
        <v>0.5146</v>
      </c>
      <c r="D26" s="121">
        <f t="shared" si="11"/>
        <v>0.5146</v>
      </c>
      <c r="E26" s="121">
        <f t="shared" si="11"/>
        <v>0.5146</v>
      </c>
      <c r="F26" s="121">
        <f t="shared" si="11"/>
        <v>0.5146</v>
      </c>
      <c r="G26" s="121">
        <f t="shared" si="11"/>
        <v>0.5146</v>
      </c>
      <c r="H26" s="121">
        <f t="shared" si="11"/>
        <v>0.5146</v>
      </c>
      <c r="I26" s="121">
        <f t="shared" si="11"/>
        <v>0.5146</v>
      </c>
      <c r="J26" s="121">
        <f t="shared" si="11"/>
        <v>0.5146</v>
      </c>
      <c r="K26" s="121">
        <f t="shared" si="11"/>
        <v>0.5146</v>
      </c>
      <c r="L26" s="121">
        <f t="shared" si="11"/>
        <v>0.5146</v>
      </c>
      <c r="M26" s="121">
        <f t="shared" si="11"/>
        <v>0.5146</v>
      </c>
    </row>
    <row r="27" spans="1:13">
      <c r="A27" s="105"/>
      <c r="B27" s="10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>
      <c r="A28" s="109" t="s">
        <v>160</v>
      </c>
      <c r="B28" s="110"/>
      <c r="C28" s="110"/>
      <c r="D28" s="110"/>
      <c r="E28" s="110"/>
      <c r="F28" s="110"/>
      <c r="G28" s="111"/>
      <c r="H28" s="111"/>
      <c r="I28" s="111"/>
      <c r="J28" s="111"/>
      <c r="K28" s="111"/>
      <c r="L28" s="111"/>
      <c r="M28" s="111"/>
    </row>
    <row r="29" spans="1:13">
      <c r="A29" s="112" t="s">
        <v>161</v>
      </c>
      <c r="B29" s="102"/>
      <c r="C29" s="113">
        <f>CHOOSE(TS!$P$15,C30,C31,C32,C33,C34)</f>
        <v>61</v>
      </c>
      <c r="D29" s="113">
        <f>CHOOSE(TS!$P$15,D30,D31,D32,D33,D34)</f>
        <v>61</v>
      </c>
      <c r="E29" s="113">
        <f>CHOOSE(TS!$P$15,E30,E31,E32,E33,E34)</f>
        <v>61</v>
      </c>
      <c r="F29" s="113">
        <f>CHOOSE(TS!$P$15,F30,F31,F32,F33,F34)</f>
        <v>61</v>
      </c>
      <c r="G29" s="113">
        <f>CHOOSE(TS!$P$15,G30,G31,G32,G33,G34)</f>
        <v>61</v>
      </c>
      <c r="H29" s="113">
        <f>CHOOSE(TS!$P$15,H30,H31,H32,H33,H34)</f>
        <v>61</v>
      </c>
      <c r="I29" s="113">
        <f>CHOOSE(TS!$P$15,I30,I31,I32,I33,I34)</f>
        <v>61</v>
      </c>
      <c r="J29" s="113">
        <f>CHOOSE(TS!$P$15,J30,J31,J32,J33,J34)</f>
        <v>61</v>
      </c>
      <c r="K29" s="113">
        <f>CHOOSE(TS!$P$15,K30,K31,K32,K33,K34)</f>
        <v>61</v>
      </c>
      <c r="L29" s="113">
        <f>CHOOSE(TS!$P$15,L30,L31,L32,L33,L34)</f>
        <v>61</v>
      </c>
      <c r="M29" s="113">
        <f>CHOOSE(TS!$P$15,M30,M31,M32,M33,M34)</f>
        <v>61</v>
      </c>
    </row>
    <row r="30" spans="1:13">
      <c r="A30" s="105" t="str">
        <f>$A$8</f>
        <v>   Base</v>
      </c>
      <c r="B30" s="102">
        <v>1</v>
      </c>
      <c r="C30" s="114">
        <v>61</v>
      </c>
      <c r="D30" s="114">
        <v>61</v>
      </c>
      <c r="E30" s="114">
        <v>61</v>
      </c>
      <c r="F30" s="114">
        <v>61</v>
      </c>
      <c r="G30" s="114">
        <v>61</v>
      </c>
      <c r="H30" s="114">
        <v>61</v>
      </c>
      <c r="I30" s="114">
        <v>61</v>
      </c>
      <c r="J30" s="114">
        <v>61</v>
      </c>
      <c r="K30" s="114">
        <v>61</v>
      </c>
      <c r="L30" s="114">
        <v>61</v>
      </c>
      <c r="M30" s="114">
        <v>61</v>
      </c>
    </row>
    <row r="31" spans="1:13">
      <c r="A31" s="105" t="str">
        <f>$A$9</f>
        <v>   Operational Improvements</v>
      </c>
      <c r="B31" s="102">
        <v>2</v>
      </c>
      <c r="C31" s="115">
        <f t="shared" ref="C31:M31" si="12">C30+3</f>
        <v>64</v>
      </c>
      <c r="D31" s="115">
        <f t="shared" si="12"/>
        <v>64</v>
      </c>
      <c r="E31" s="115">
        <f t="shared" si="12"/>
        <v>64</v>
      </c>
      <c r="F31" s="115">
        <f t="shared" si="12"/>
        <v>64</v>
      </c>
      <c r="G31" s="115">
        <f t="shared" si="12"/>
        <v>64</v>
      </c>
      <c r="H31" s="115">
        <f t="shared" si="12"/>
        <v>64</v>
      </c>
      <c r="I31" s="115">
        <f t="shared" si="12"/>
        <v>64</v>
      </c>
      <c r="J31" s="115">
        <f t="shared" si="12"/>
        <v>64</v>
      </c>
      <c r="K31" s="115">
        <f t="shared" si="12"/>
        <v>64</v>
      </c>
      <c r="L31" s="115">
        <f t="shared" si="12"/>
        <v>64</v>
      </c>
      <c r="M31" s="115">
        <f t="shared" si="12"/>
        <v>64</v>
      </c>
    </row>
    <row r="32" spans="1:13">
      <c r="A32" s="105" t="str">
        <f>$A$10</f>
        <v>   Major Stress</v>
      </c>
      <c r="B32" s="102">
        <v>3</v>
      </c>
      <c r="C32" s="115">
        <f t="shared" ref="C32:M32" si="13">C30-5</f>
        <v>56</v>
      </c>
      <c r="D32" s="115">
        <f t="shared" si="13"/>
        <v>56</v>
      </c>
      <c r="E32" s="115">
        <f t="shared" si="13"/>
        <v>56</v>
      </c>
      <c r="F32" s="115">
        <f t="shared" si="13"/>
        <v>56</v>
      </c>
      <c r="G32" s="115">
        <f t="shared" si="13"/>
        <v>56</v>
      </c>
      <c r="H32" s="115">
        <f t="shared" si="13"/>
        <v>56</v>
      </c>
      <c r="I32" s="115">
        <f t="shared" si="13"/>
        <v>56</v>
      </c>
      <c r="J32" s="115">
        <f t="shared" si="13"/>
        <v>56</v>
      </c>
      <c r="K32" s="115">
        <f t="shared" si="13"/>
        <v>56</v>
      </c>
      <c r="L32" s="115">
        <f t="shared" si="13"/>
        <v>56</v>
      </c>
      <c r="M32" s="115">
        <f t="shared" si="13"/>
        <v>56</v>
      </c>
    </row>
    <row r="33" spans="1:13">
      <c r="A33" s="105" t="str">
        <f>$A$11</f>
        <v>   Alternative Scenario 3</v>
      </c>
      <c r="B33" s="102">
        <v>4</v>
      </c>
      <c r="C33" s="115">
        <f t="shared" ref="C33:M33" si="14">C31+1</f>
        <v>65</v>
      </c>
      <c r="D33" s="115">
        <f t="shared" si="14"/>
        <v>65</v>
      </c>
      <c r="E33" s="115">
        <f t="shared" si="14"/>
        <v>65</v>
      </c>
      <c r="F33" s="115">
        <f t="shared" si="14"/>
        <v>65</v>
      </c>
      <c r="G33" s="115">
        <f t="shared" si="14"/>
        <v>65</v>
      </c>
      <c r="H33" s="115">
        <f t="shared" si="14"/>
        <v>65</v>
      </c>
      <c r="I33" s="115">
        <f t="shared" si="14"/>
        <v>65</v>
      </c>
      <c r="J33" s="115">
        <f t="shared" si="14"/>
        <v>65</v>
      </c>
      <c r="K33" s="115">
        <f t="shared" si="14"/>
        <v>65</v>
      </c>
      <c r="L33" s="115">
        <f t="shared" si="14"/>
        <v>65</v>
      </c>
      <c r="M33" s="115">
        <f t="shared" si="14"/>
        <v>65</v>
      </c>
    </row>
    <row r="34" spans="1:13">
      <c r="A34" s="105" t="str">
        <f>$A$12</f>
        <v>   Alternative Scenario 4</v>
      </c>
      <c r="B34" s="102">
        <v>5</v>
      </c>
      <c r="C34" s="116">
        <f t="shared" ref="C34:M34" si="15">C33</f>
        <v>65</v>
      </c>
      <c r="D34" s="116">
        <f t="shared" si="15"/>
        <v>65</v>
      </c>
      <c r="E34" s="116">
        <f t="shared" si="15"/>
        <v>65</v>
      </c>
      <c r="F34" s="116">
        <f t="shared" si="15"/>
        <v>65</v>
      </c>
      <c r="G34" s="116">
        <f t="shared" si="15"/>
        <v>65</v>
      </c>
      <c r="H34" s="116">
        <f t="shared" si="15"/>
        <v>65</v>
      </c>
      <c r="I34" s="116">
        <f t="shared" si="15"/>
        <v>65</v>
      </c>
      <c r="J34" s="116">
        <f t="shared" si="15"/>
        <v>65</v>
      </c>
      <c r="K34" s="116">
        <f t="shared" si="15"/>
        <v>65</v>
      </c>
      <c r="L34" s="116">
        <f t="shared" si="15"/>
        <v>65</v>
      </c>
      <c r="M34" s="116">
        <f t="shared" si="15"/>
        <v>65</v>
      </c>
    </row>
    <row r="35" spans="1:13">
      <c r="A35" s="105"/>
      <c r="B35" s="102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</row>
    <row r="36" spans="1:13">
      <c r="A36" s="112" t="s">
        <v>269</v>
      </c>
      <c r="B36" s="102"/>
      <c r="C36" s="123">
        <f>CHOOSE(TS!$P$15,C37,C38,C39,C40,C41)</f>
        <v>0</v>
      </c>
      <c r="D36" s="123">
        <f>CHOOSE(TS!$P$15,D37,D38,D39,D40,D41)</f>
        <v>0</v>
      </c>
      <c r="E36" s="123">
        <f>CHOOSE(TS!$P$15,E37,E38,E39,E40,E41)</f>
        <v>0</v>
      </c>
      <c r="F36" s="123">
        <f>CHOOSE(TS!$P$15,F37,F38,F39,F40,F41)</f>
        <v>0</v>
      </c>
      <c r="G36" s="123">
        <f>CHOOSE(TS!$P$15,G37,G38,G39,G40,G41)</f>
        <v>0</v>
      </c>
      <c r="H36" s="123">
        <f>CHOOSE(TS!$P$15,H37,H38,H39,H40,H41)</f>
        <v>0</v>
      </c>
      <c r="I36" s="123">
        <f>CHOOSE(TS!$P$15,I37,I38,I39,I40,I41)</f>
        <v>0</v>
      </c>
      <c r="J36" s="123">
        <f>CHOOSE(TS!$P$15,J37,J38,J39,J40,J41)</f>
        <v>0</v>
      </c>
      <c r="K36" s="123">
        <f>CHOOSE(TS!$P$15,K37,K38,K39,K40,K41)</f>
        <v>0</v>
      </c>
      <c r="L36" s="123">
        <f>CHOOSE(TS!$P$15,L37,L38,L39,L40,L41)</f>
        <v>0</v>
      </c>
      <c r="M36" s="123">
        <f>CHOOSE(TS!$P$15,M37,M38,M39,M40,M41)</f>
        <v>0</v>
      </c>
    </row>
    <row r="37" spans="1:13">
      <c r="A37" s="105" t="str">
        <f>$A$8</f>
        <v>   Base</v>
      </c>
      <c r="B37" s="102">
        <v>1</v>
      </c>
      <c r="C37" s="124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  <c r="I37" s="129">
        <v>0</v>
      </c>
      <c r="J37" s="129">
        <v>0</v>
      </c>
      <c r="K37" s="129">
        <v>0</v>
      </c>
      <c r="L37" s="129">
        <v>0</v>
      </c>
      <c r="M37" s="130">
        <v>0</v>
      </c>
    </row>
    <row r="38" spans="1:13">
      <c r="A38" s="105" t="str">
        <f>$A$9</f>
        <v>   Operational Improvements</v>
      </c>
      <c r="B38" s="102">
        <v>2</v>
      </c>
      <c r="C38" s="120">
        <v>0</v>
      </c>
      <c r="D38" s="126">
        <v>0</v>
      </c>
      <c r="E38" s="126">
        <v>0</v>
      </c>
      <c r="F38" s="126">
        <v>0</v>
      </c>
      <c r="G38" s="126">
        <v>0</v>
      </c>
      <c r="H38" s="126">
        <v>0</v>
      </c>
      <c r="I38" s="131">
        <v>0</v>
      </c>
      <c r="J38" s="131">
        <v>0</v>
      </c>
      <c r="K38" s="131">
        <v>0</v>
      </c>
      <c r="L38" s="131">
        <v>0</v>
      </c>
      <c r="M38" s="132">
        <v>0</v>
      </c>
    </row>
    <row r="39" spans="1:13">
      <c r="A39" s="105" t="str">
        <f>$A$10</f>
        <v>   Major Stress</v>
      </c>
      <c r="B39" s="102">
        <v>3</v>
      </c>
      <c r="C39" s="120">
        <v>0</v>
      </c>
      <c r="D39" s="126">
        <v>0</v>
      </c>
      <c r="E39" s="126">
        <v>0</v>
      </c>
      <c r="F39" s="126">
        <v>0</v>
      </c>
      <c r="G39" s="126">
        <v>0</v>
      </c>
      <c r="H39" s="126">
        <v>0</v>
      </c>
      <c r="I39" s="131">
        <v>0</v>
      </c>
      <c r="J39" s="131">
        <v>0</v>
      </c>
      <c r="K39" s="131">
        <v>0</v>
      </c>
      <c r="L39" s="131">
        <v>0</v>
      </c>
      <c r="M39" s="132">
        <v>0</v>
      </c>
    </row>
    <row r="40" spans="1:13">
      <c r="A40" s="105" t="str">
        <f>$A$11</f>
        <v>   Alternative Scenario 3</v>
      </c>
      <c r="B40" s="102">
        <v>4</v>
      </c>
      <c r="C40" s="120">
        <v>0</v>
      </c>
      <c r="D40" s="126">
        <v>0</v>
      </c>
      <c r="E40" s="126">
        <v>0</v>
      </c>
      <c r="F40" s="126">
        <v>0</v>
      </c>
      <c r="G40" s="126">
        <v>0</v>
      </c>
      <c r="H40" s="126">
        <v>0</v>
      </c>
      <c r="I40" s="131">
        <v>0</v>
      </c>
      <c r="J40" s="131">
        <v>0</v>
      </c>
      <c r="K40" s="131">
        <v>0</v>
      </c>
      <c r="L40" s="131">
        <v>0</v>
      </c>
      <c r="M40" s="132">
        <v>0</v>
      </c>
    </row>
    <row r="41" spans="1:13">
      <c r="A41" s="105" t="str">
        <f>$A$12</f>
        <v>   Alternative Scenario 4</v>
      </c>
      <c r="B41" s="102">
        <v>5</v>
      </c>
      <c r="C41" s="121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33">
        <v>0</v>
      </c>
      <c r="J41" s="133">
        <v>0</v>
      </c>
      <c r="K41" s="133">
        <v>0</v>
      </c>
      <c r="L41" s="133">
        <v>0</v>
      </c>
      <c r="M41" s="134">
        <v>0</v>
      </c>
    </row>
    <row r="42" spans="1:13">
      <c r="A42" s="105"/>
      <c r="B42" s="102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</row>
    <row r="43" spans="1:13">
      <c r="A43" s="112" t="s">
        <v>270</v>
      </c>
      <c r="B43" s="102"/>
      <c r="C43" s="123">
        <f>CHOOSE(TS!$P$15,C44,C45,C46,C47,C48)</f>
        <v>0.2256</v>
      </c>
      <c r="D43" s="123">
        <f>CHOOSE(TS!$P$15,D44,D45,D46,D47,D48)</f>
        <v>0.2256</v>
      </c>
      <c r="E43" s="123">
        <f>CHOOSE(TS!$P$15,E44,E45,E46,E47,E48)</f>
        <v>0.2256</v>
      </c>
      <c r="F43" s="123">
        <f>CHOOSE(TS!$P$15,F44,F45,F46,F47,F48)</f>
        <v>0.2256</v>
      </c>
      <c r="G43" s="123">
        <f>CHOOSE(TS!$P$15,G44,G45,G46,G47,G48)</f>
        <v>0.2256</v>
      </c>
      <c r="H43" s="123">
        <f>CHOOSE(TS!$P$15,H44,H45,H46,H47,H48)</f>
        <v>0.2256</v>
      </c>
      <c r="I43" s="123">
        <f>CHOOSE(TS!$P$15,I44,I45,I46,I47,I48)</f>
        <v>0.2256</v>
      </c>
      <c r="J43" s="123">
        <f>CHOOSE(TS!$P$15,J44,J45,J46,J47,J48)</f>
        <v>0.2256</v>
      </c>
      <c r="K43" s="123">
        <f>CHOOSE(TS!$P$15,K44,K45,K46,K47,K48)</f>
        <v>0.2256</v>
      </c>
      <c r="L43" s="123">
        <f>CHOOSE(TS!$P$15,L44,L45,L46,L47,L48)</f>
        <v>0.2256</v>
      </c>
      <c r="M43" s="123">
        <f>CHOOSE(TS!$P$15,M44,M45,M46,M47,M48)</f>
        <v>0.2256</v>
      </c>
    </row>
    <row r="44" spans="1:13">
      <c r="A44" s="105" t="str">
        <f>$A$8</f>
        <v>   Base</v>
      </c>
      <c r="B44" s="102">
        <v>1</v>
      </c>
      <c r="C44" s="119">
        <v>0.2256</v>
      </c>
      <c r="D44" s="119">
        <v>0.2256</v>
      </c>
      <c r="E44" s="119">
        <v>0.2256</v>
      </c>
      <c r="F44" s="119">
        <v>0.2256</v>
      </c>
      <c r="G44" s="119">
        <v>0.2256</v>
      </c>
      <c r="H44" s="119">
        <v>0.2256</v>
      </c>
      <c r="I44" s="119">
        <v>0.2256</v>
      </c>
      <c r="J44" s="119">
        <v>0.2256</v>
      </c>
      <c r="K44" s="119">
        <v>0.2256</v>
      </c>
      <c r="L44" s="119">
        <v>0.2256</v>
      </c>
      <c r="M44" s="119">
        <v>0.2256</v>
      </c>
    </row>
    <row r="45" spans="1:13">
      <c r="A45" s="105" t="str">
        <f>$A$9</f>
        <v>   Operational Improvements</v>
      </c>
      <c r="B45" s="102">
        <v>2</v>
      </c>
      <c r="C45" s="120">
        <f t="shared" ref="C45:M45" si="16">C44-2%</f>
        <v>0.2056</v>
      </c>
      <c r="D45" s="120">
        <f t="shared" si="16"/>
        <v>0.2056</v>
      </c>
      <c r="E45" s="120">
        <f t="shared" si="16"/>
        <v>0.2056</v>
      </c>
      <c r="F45" s="120">
        <f t="shared" si="16"/>
        <v>0.2056</v>
      </c>
      <c r="G45" s="120">
        <f t="shared" si="16"/>
        <v>0.2056</v>
      </c>
      <c r="H45" s="120">
        <f t="shared" si="16"/>
        <v>0.2056</v>
      </c>
      <c r="I45" s="120">
        <f t="shared" si="16"/>
        <v>0.2056</v>
      </c>
      <c r="J45" s="120">
        <f t="shared" si="16"/>
        <v>0.2056</v>
      </c>
      <c r="K45" s="120">
        <f t="shared" si="16"/>
        <v>0.2056</v>
      </c>
      <c r="L45" s="120">
        <f t="shared" si="16"/>
        <v>0.2056</v>
      </c>
      <c r="M45" s="120">
        <f t="shared" si="16"/>
        <v>0.2056</v>
      </c>
    </row>
    <row r="46" spans="1:13">
      <c r="A46" s="105" t="str">
        <f>$A$10</f>
        <v>   Major Stress</v>
      </c>
      <c r="B46" s="102">
        <v>3</v>
      </c>
      <c r="C46" s="120">
        <f t="shared" ref="C46:M46" si="17">C44+3%</f>
        <v>0.2556</v>
      </c>
      <c r="D46" s="120">
        <f t="shared" si="17"/>
        <v>0.2556</v>
      </c>
      <c r="E46" s="120">
        <f t="shared" si="17"/>
        <v>0.2556</v>
      </c>
      <c r="F46" s="120">
        <f t="shared" si="17"/>
        <v>0.2556</v>
      </c>
      <c r="G46" s="120">
        <f t="shared" si="17"/>
        <v>0.2556</v>
      </c>
      <c r="H46" s="120">
        <f t="shared" si="17"/>
        <v>0.2556</v>
      </c>
      <c r="I46" s="120">
        <f t="shared" si="17"/>
        <v>0.2556</v>
      </c>
      <c r="J46" s="120">
        <f t="shared" si="17"/>
        <v>0.2556</v>
      </c>
      <c r="K46" s="120">
        <f t="shared" si="17"/>
        <v>0.2556</v>
      </c>
      <c r="L46" s="120">
        <f t="shared" si="17"/>
        <v>0.2556</v>
      </c>
      <c r="M46" s="120">
        <f t="shared" si="17"/>
        <v>0.2556</v>
      </c>
    </row>
    <row r="47" spans="1:13">
      <c r="A47" s="105" t="str">
        <f>$A$11</f>
        <v>   Alternative Scenario 3</v>
      </c>
      <c r="B47" s="102">
        <v>4</v>
      </c>
      <c r="C47" s="120">
        <f t="shared" ref="C47:M47" si="18">C45</f>
        <v>0.2056</v>
      </c>
      <c r="D47" s="120">
        <f t="shared" si="18"/>
        <v>0.2056</v>
      </c>
      <c r="E47" s="120">
        <f t="shared" si="18"/>
        <v>0.2056</v>
      </c>
      <c r="F47" s="120">
        <f t="shared" si="18"/>
        <v>0.2056</v>
      </c>
      <c r="G47" s="120">
        <f t="shared" si="18"/>
        <v>0.2056</v>
      </c>
      <c r="H47" s="120">
        <f t="shared" si="18"/>
        <v>0.2056</v>
      </c>
      <c r="I47" s="120">
        <f t="shared" si="18"/>
        <v>0.2056</v>
      </c>
      <c r="J47" s="120">
        <f t="shared" si="18"/>
        <v>0.2056</v>
      </c>
      <c r="K47" s="120">
        <f t="shared" si="18"/>
        <v>0.2056</v>
      </c>
      <c r="L47" s="120">
        <f t="shared" si="18"/>
        <v>0.2056</v>
      </c>
      <c r="M47" s="120">
        <f t="shared" si="18"/>
        <v>0.2056</v>
      </c>
    </row>
    <row r="48" spans="1:13">
      <c r="A48" s="105" t="str">
        <f>$A$12</f>
        <v>   Alternative Scenario 4</v>
      </c>
      <c r="B48" s="102">
        <v>5</v>
      </c>
      <c r="C48" s="121">
        <f t="shared" ref="C48:M48" si="19">C45</f>
        <v>0.2056</v>
      </c>
      <c r="D48" s="121">
        <f t="shared" si="19"/>
        <v>0.2056</v>
      </c>
      <c r="E48" s="121">
        <f t="shared" si="19"/>
        <v>0.2056</v>
      </c>
      <c r="F48" s="121">
        <f t="shared" si="19"/>
        <v>0.2056</v>
      </c>
      <c r="G48" s="121">
        <f t="shared" si="19"/>
        <v>0.2056</v>
      </c>
      <c r="H48" s="121">
        <f t="shared" si="19"/>
        <v>0.2056</v>
      </c>
      <c r="I48" s="121">
        <f t="shared" si="19"/>
        <v>0.2056</v>
      </c>
      <c r="J48" s="121">
        <f t="shared" si="19"/>
        <v>0.2056</v>
      </c>
      <c r="K48" s="121">
        <f t="shared" si="19"/>
        <v>0.2056</v>
      </c>
      <c r="L48" s="121">
        <f t="shared" si="19"/>
        <v>0.2056</v>
      </c>
      <c r="M48" s="121">
        <f t="shared" si="19"/>
        <v>0.2056</v>
      </c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55"/>
  <sheetViews>
    <sheetView zoomScale="120" zoomScaleNormal="120" workbookViewId="0">
      <selection activeCell="E43" sqref="E43"/>
    </sheetView>
  </sheetViews>
  <sheetFormatPr defaultColWidth="8.81481481481481" defaultRowHeight="14.4"/>
  <cols>
    <col min="1" max="1" width="19.4537037037037" customWidth="1"/>
    <col min="3" max="7" width="14.1759259259259" customWidth="1"/>
    <col min="13" max="13" width="12.4537037037037" customWidth="1"/>
  </cols>
  <sheetData>
    <row r="1" ht="15.6" spans="1:13">
      <c r="A1" s="15" t="s">
        <v>271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16.35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>
      <c r="A3" s="17" t="s">
        <v>272</v>
      </c>
      <c r="B3" s="18"/>
      <c r="C3" s="18"/>
      <c r="D3" s="18"/>
      <c r="E3" s="18"/>
      <c r="F3" s="18"/>
      <c r="G3" s="19"/>
      <c r="H3" s="20"/>
      <c r="I3" s="17" t="s">
        <v>6</v>
      </c>
      <c r="J3" s="18"/>
      <c r="K3" s="18"/>
      <c r="L3" s="18"/>
      <c r="M3" s="19"/>
    </row>
    <row r="4" spans="1:13">
      <c r="A4" s="21"/>
      <c r="B4" s="22"/>
      <c r="C4" s="23" t="s">
        <v>273</v>
      </c>
      <c r="D4" s="23"/>
      <c r="E4" s="23"/>
      <c r="F4" s="23"/>
      <c r="G4" s="24"/>
      <c r="H4" s="20"/>
      <c r="I4" s="49" t="s">
        <v>274</v>
      </c>
      <c r="J4" s="22"/>
      <c r="K4" s="22"/>
      <c r="L4" s="22"/>
      <c r="M4" s="85">
        <v>1</v>
      </c>
    </row>
    <row r="5" spans="1:13">
      <c r="A5" s="21"/>
      <c r="B5" s="22"/>
      <c r="C5" s="25">
        <v>1</v>
      </c>
      <c r="D5" s="26">
        <v>2</v>
      </c>
      <c r="E5" s="26">
        <v>3</v>
      </c>
      <c r="F5" s="26">
        <v>4</v>
      </c>
      <c r="G5" s="27">
        <v>5</v>
      </c>
      <c r="H5" s="20"/>
      <c r="I5" s="21" t="str">
        <f>+IF(M4=1,"Offer Price per Share"," ")</f>
        <v>Offer Price per Share</v>
      </c>
      <c r="J5" s="22"/>
      <c r="K5" s="22"/>
      <c r="L5" s="22"/>
      <c r="M5" s="86">
        <v>27.28</v>
      </c>
    </row>
    <row r="6" spans="1:13">
      <c r="A6" s="28" t="s">
        <v>4</v>
      </c>
      <c r="B6" s="29"/>
      <c r="C6" s="30" t="s">
        <v>275</v>
      </c>
      <c r="D6" s="31" t="s">
        <v>276</v>
      </c>
      <c r="E6" s="31" t="s">
        <v>277</v>
      </c>
      <c r="F6" s="31" t="s">
        <v>278</v>
      </c>
      <c r="G6" s="32" t="s">
        <v>279</v>
      </c>
      <c r="H6" s="20"/>
      <c r="I6" s="21" t="str">
        <f>IF(M4=1," ","Entry EBITDA Multiple")</f>
        <v> </v>
      </c>
      <c r="J6" s="22"/>
      <c r="K6" s="22"/>
      <c r="L6" s="22"/>
      <c r="M6" s="87" t="str">
        <f>IF(M4=1," ",RA!D7)</f>
        <v> </v>
      </c>
    </row>
    <row r="7" spans="1:13">
      <c r="A7" s="33" t="s">
        <v>208</v>
      </c>
      <c r="B7" s="22"/>
      <c r="C7" s="34">
        <v>0</v>
      </c>
      <c r="D7" s="35">
        <v>0</v>
      </c>
      <c r="E7" s="35">
        <v>0</v>
      </c>
      <c r="F7" s="35">
        <v>0</v>
      </c>
      <c r="G7" s="36">
        <v>0</v>
      </c>
      <c r="H7" s="20"/>
      <c r="I7" s="462" t="str">
        <f>IF('A3'!M4=1,"Fully Diluted Shares Outstanding","LTM "&amp;TS!E24&amp;" EBITDA")</f>
        <v>Fully Diluted Shares Outstanding</v>
      </c>
      <c r="J7" s="22"/>
      <c r="K7" s="22"/>
      <c r="L7" s="22"/>
      <c r="M7" s="88">
        <v>143.79</v>
      </c>
    </row>
    <row r="8" spans="1:13">
      <c r="A8" s="33" t="s">
        <v>280</v>
      </c>
      <c r="B8" s="22"/>
      <c r="C8" s="37">
        <v>0</v>
      </c>
      <c r="D8" s="38">
        <v>0</v>
      </c>
      <c r="E8" s="38">
        <v>0</v>
      </c>
      <c r="F8" s="37">
        <v>0</v>
      </c>
      <c r="G8" s="39">
        <v>0</v>
      </c>
      <c r="H8" s="20"/>
      <c r="I8" s="463" t="str">
        <f>IF('A3'!M4=1,"Equity Purchase Price","Enterprise Value")</f>
        <v>Equity Purchase Price</v>
      </c>
      <c r="J8" s="22"/>
      <c r="K8" s="22"/>
      <c r="L8" s="22"/>
      <c r="M8" s="90">
        <f>IF('A3'!$M$4=1,M5*M7,M6*M7)</f>
        <v>3922.5912</v>
      </c>
    </row>
    <row r="9" spans="1:13">
      <c r="A9" s="21" t="s">
        <v>23</v>
      </c>
      <c r="B9" s="22"/>
      <c r="C9" s="37">
        <v>0</v>
      </c>
      <c r="D9" s="38">
        <v>0</v>
      </c>
      <c r="E9" s="38">
        <v>0</v>
      </c>
      <c r="F9" s="37">
        <v>0</v>
      </c>
      <c r="G9" s="39">
        <v>0</v>
      </c>
      <c r="H9" s="20"/>
      <c r="I9" s="21"/>
      <c r="J9" s="22"/>
      <c r="K9" s="22"/>
      <c r="L9" s="22"/>
      <c r="M9" s="91"/>
    </row>
    <row r="10" spans="1:13">
      <c r="A10" s="21" t="s">
        <v>27</v>
      </c>
      <c r="B10" s="22"/>
      <c r="C10" s="40">
        <f>4*TS!E31</f>
        <v>0</v>
      </c>
      <c r="D10" s="37">
        <v>0</v>
      </c>
      <c r="E10" s="38">
        <v>0</v>
      </c>
      <c r="F10" s="40">
        <v>0</v>
      </c>
      <c r="G10" s="39">
        <v>0</v>
      </c>
      <c r="H10" s="20"/>
      <c r="I10" s="462" t="str">
        <f>IF('A3'!M4=1,"Plus: Total Debt","Less: Total Debt")</f>
        <v>Plus: Total Debt</v>
      </c>
      <c r="J10" s="22"/>
      <c r="K10" s="22"/>
      <c r="L10" s="22"/>
      <c r="M10" s="74">
        <f>IF('A3'!$M$4=1,BS!B29+BS!B32,-BS!B29-BS!B32)</f>
        <v>0</v>
      </c>
    </row>
    <row r="11" spans="1:13">
      <c r="A11" s="21" t="s">
        <v>31</v>
      </c>
      <c r="B11" s="22"/>
      <c r="C11" s="37">
        <v>0</v>
      </c>
      <c r="D11" s="38">
        <v>0</v>
      </c>
      <c r="E11" s="38">
        <v>0</v>
      </c>
      <c r="F11" s="37">
        <v>0</v>
      </c>
      <c r="G11" s="39">
        <v>0</v>
      </c>
      <c r="H11" s="41"/>
      <c r="I11" s="462" t="str">
        <f>IF('A3'!M4=1,"Plus: Preferred Stock","Less: Preferred Stock")</f>
        <v>Plus: Preferred Stock</v>
      </c>
      <c r="J11" s="22"/>
      <c r="K11" s="22"/>
      <c r="L11" s="22"/>
      <c r="M11" s="92">
        <v>0</v>
      </c>
    </row>
    <row r="12" spans="1:13">
      <c r="A12" s="21" t="s">
        <v>33</v>
      </c>
      <c r="B12" s="22"/>
      <c r="C12" s="37">
        <v>0</v>
      </c>
      <c r="D12" s="38">
        <v>0</v>
      </c>
      <c r="E12" s="38">
        <v>0</v>
      </c>
      <c r="F12" s="37">
        <v>0</v>
      </c>
      <c r="G12" s="39">
        <v>0</v>
      </c>
      <c r="H12" s="20"/>
      <c r="I12" s="462" t="str">
        <f>IF('A3'!M4=1,"Plus: Noncontrolling Interest","Less: Noncontrolling Interest")</f>
        <v>Plus: Noncontrolling Interest</v>
      </c>
      <c r="J12" s="22"/>
      <c r="K12" s="22"/>
      <c r="L12" s="22"/>
      <c r="M12" s="74">
        <f>IF('A3'!$M$4=1,BS!B39,-BS!B39)</f>
        <v>0</v>
      </c>
    </row>
    <row r="13" spans="1:13">
      <c r="A13" s="21" t="s">
        <v>37</v>
      </c>
      <c r="B13" s="22"/>
      <c r="C13" s="37">
        <v>0</v>
      </c>
      <c r="D13" s="38">
        <v>0</v>
      </c>
      <c r="E13" s="38">
        <v>0</v>
      </c>
      <c r="F13" s="37">
        <v>0</v>
      </c>
      <c r="G13" s="39">
        <v>0</v>
      </c>
      <c r="H13" s="42"/>
      <c r="I13" s="462" t="str">
        <f>IF('A3'!M4=1,"Less: Cash and Cash Equivalents","Plus: Cash and Cash Equivalents")</f>
        <v>Less: Cash and Cash Equivalents</v>
      </c>
      <c r="J13" s="22"/>
      <c r="K13" s="22"/>
      <c r="L13" s="22"/>
      <c r="M13" s="93">
        <f>IF('A3'!$M$4=1,-BS!B7,BS!B7)</f>
        <v>0</v>
      </c>
    </row>
    <row r="14" ht="15.15" spans="1:13">
      <c r="A14" s="21" t="s">
        <v>40</v>
      </c>
      <c r="B14" s="22"/>
      <c r="C14" s="37">
        <f>3*TS!E31</f>
        <v>0</v>
      </c>
      <c r="D14" s="38">
        <v>0</v>
      </c>
      <c r="E14" s="38">
        <v>0</v>
      </c>
      <c r="F14" s="37">
        <v>0</v>
      </c>
      <c r="G14" s="39">
        <v>0</v>
      </c>
      <c r="H14" s="20"/>
      <c r="I14" s="464" t="str">
        <f>IF('A3'!M4=1,"Enterprise Value","Equity Purchase Price")</f>
        <v>Enterprise Value</v>
      </c>
      <c r="J14" s="62"/>
      <c r="K14" s="62"/>
      <c r="L14" s="62"/>
      <c r="M14" s="95">
        <f>SUM(M8:M13)</f>
        <v>3922.5912</v>
      </c>
    </row>
    <row r="15" spans="1:13">
      <c r="A15" s="21" t="s">
        <v>42</v>
      </c>
      <c r="B15" s="22"/>
      <c r="C15" s="43">
        <f>SUM(C22:C28)-SUM(C8:C14,C16:C18)</f>
        <v>3922.5912</v>
      </c>
      <c r="D15" s="44">
        <f>SUM(D22:D28)-SUM(D8:D14,D16:D18)</f>
        <v>3922.5912</v>
      </c>
      <c r="E15" s="44">
        <f>SUM(E22:E28)-SUM(E8:E14,E16:E18)</f>
        <v>3922.5912</v>
      </c>
      <c r="F15" s="43">
        <f>SUM(F22:F28)-SUM(F8:F14,F16:F18)</f>
        <v>3922.5912</v>
      </c>
      <c r="G15" s="45">
        <f>SUM(G22:G28)-SUM(G8:G14,G16:G18)</f>
        <v>3922.5912</v>
      </c>
      <c r="H15" s="20"/>
      <c r="I15" s="96"/>
      <c r="J15" s="96"/>
      <c r="K15" s="96"/>
      <c r="L15" s="96"/>
      <c r="M15" s="96"/>
    </row>
    <row r="16" spans="1:8">
      <c r="A16" s="21" t="s">
        <v>44</v>
      </c>
      <c r="B16" s="22"/>
      <c r="C16" s="37">
        <v>0</v>
      </c>
      <c r="D16" s="38">
        <v>0</v>
      </c>
      <c r="E16" s="38">
        <v>0</v>
      </c>
      <c r="F16" s="37">
        <v>0</v>
      </c>
      <c r="G16" s="39">
        <v>0</v>
      </c>
      <c r="H16" s="20"/>
    </row>
    <row r="17" spans="1:8">
      <c r="A17" s="33" t="s">
        <v>47</v>
      </c>
      <c r="B17" s="22"/>
      <c r="C17" s="40">
        <v>0</v>
      </c>
      <c r="D17" s="37">
        <v>0</v>
      </c>
      <c r="E17" s="38">
        <v>0</v>
      </c>
      <c r="F17" s="40">
        <v>0</v>
      </c>
      <c r="G17" s="39">
        <v>0</v>
      </c>
      <c r="H17" s="20"/>
    </row>
    <row r="18" spans="1:8">
      <c r="A18" s="21"/>
      <c r="B18" s="22"/>
      <c r="C18" s="46">
        <v>0</v>
      </c>
      <c r="D18" s="47">
        <v>0</v>
      </c>
      <c r="E18" s="47">
        <v>0</v>
      </c>
      <c r="F18" s="47">
        <v>0</v>
      </c>
      <c r="G18" s="48">
        <v>0</v>
      </c>
      <c r="H18" s="20"/>
    </row>
    <row r="19" ht="15.15" spans="1:8">
      <c r="A19" s="49" t="s">
        <v>281</v>
      </c>
      <c r="B19" s="22"/>
      <c r="C19" s="50">
        <f>SUM(C8:C18)</f>
        <v>3922.5912</v>
      </c>
      <c r="D19" s="51">
        <f>SUM(D8:D18)</f>
        <v>3922.5912</v>
      </c>
      <c r="E19" s="51">
        <f>SUM(E8:E18)</f>
        <v>3922.5912</v>
      </c>
      <c r="F19" s="51">
        <f>SUM(F8:F18)</f>
        <v>3922.5912</v>
      </c>
      <c r="G19" s="52">
        <f>SUM(G8:G18)</f>
        <v>3922.5912</v>
      </c>
      <c r="H19" s="20"/>
    </row>
    <row r="20" ht="15.15" spans="1:8">
      <c r="A20" s="21"/>
      <c r="B20" s="22"/>
      <c r="C20" s="53"/>
      <c r="D20" s="54"/>
      <c r="E20" s="54"/>
      <c r="F20" s="54"/>
      <c r="G20" s="55"/>
      <c r="H20" s="20"/>
    </row>
    <row r="21" spans="1:8">
      <c r="A21" s="28" t="s">
        <v>5</v>
      </c>
      <c r="B21" s="29"/>
      <c r="C21" s="29"/>
      <c r="D21" s="56"/>
      <c r="E21" s="56"/>
      <c r="F21" s="56"/>
      <c r="G21" s="57"/>
      <c r="H21" s="20"/>
    </row>
    <row r="22" spans="1:8">
      <c r="A22" s="21" t="s">
        <v>282</v>
      </c>
      <c r="B22" s="22"/>
      <c r="C22" s="58">
        <f>IF('A3'!$M$4=1,M8,M14)</f>
        <v>3922.5912</v>
      </c>
      <c r="D22" s="59">
        <f>IF('A3'!$M$4=1,M8,M14)</f>
        <v>3922.5912</v>
      </c>
      <c r="E22" s="59">
        <f>IF('A3'!$M$4=1,M8,M14)</f>
        <v>3922.5912</v>
      </c>
      <c r="F22" s="59">
        <f>IF('A3'!$M$4=1,M8,M14)</f>
        <v>3922.5912</v>
      </c>
      <c r="G22" s="60">
        <f>IF('A3'!$M$4=1,M8,M14)</f>
        <v>3922.5912</v>
      </c>
      <c r="H22" s="20"/>
    </row>
    <row r="23" spans="1:8">
      <c r="A23" s="21" t="s">
        <v>283</v>
      </c>
      <c r="B23" s="22"/>
      <c r="C23" s="43">
        <f>+BS!B29+BS!B32</f>
        <v>0</v>
      </c>
      <c r="D23" s="44">
        <f>+C23</f>
        <v>0</v>
      </c>
      <c r="E23" s="44">
        <f>+D23</f>
        <v>0</v>
      </c>
      <c r="F23" s="43">
        <f>+E23</f>
        <v>0</v>
      </c>
      <c r="G23" s="45">
        <f>+F23</f>
        <v>0</v>
      </c>
      <c r="H23" s="20"/>
    </row>
    <row r="24" spans="1:8">
      <c r="A24" s="21" t="s">
        <v>28</v>
      </c>
      <c r="B24" s="22"/>
      <c r="C24" s="37">
        <v>0</v>
      </c>
      <c r="D24" s="38">
        <v>0</v>
      </c>
      <c r="E24" s="38">
        <v>0</v>
      </c>
      <c r="F24" s="37">
        <v>0</v>
      </c>
      <c r="G24" s="39">
        <v>0</v>
      </c>
      <c r="H24" s="20"/>
    </row>
    <row r="25" spans="1:8">
      <c r="A25" s="21" t="s">
        <v>32</v>
      </c>
      <c r="B25" s="22"/>
      <c r="C25" s="43">
        <f>C7*$F$34+C9*$F$35+C10*$F$36+C11*$F$37+C12*$F$38+C13*$F$39+C14*$F$40+$G$41</f>
        <v>0</v>
      </c>
      <c r="D25" s="44">
        <f t="shared" ref="D25:G25" si="0">D7*$F$34+D9*$F$35+D10*$F$36+D11*$F$37+D12*$F$38+D13*$F$39+D14*$F$40+$G$41</f>
        <v>0</v>
      </c>
      <c r="E25" s="44">
        <f t="shared" si="0"/>
        <v>0</v>
      </c>
      <c r="F25" s="43">
        <f t="shared" si="0"/>
        <v>0</v>
      </c>
      <c r="G25" s="45">
        <f t="shared" si="0"/>
        <v>0</v>
      </c>
      <c r="H25" s="20"/>
    </row>
    <row r="26" spans="1:8">
      <c r="A26" s="21" t="s">
        <v>34</v>
      </c>
      <c r="B26" s="22"/>
      <c r="C26" s="37">
        <v>0</v>
      </c>
      <c r="D26" s="38">
        <v>0</v>
      </c>
      <c r="E26" s="38">
        <v>0</v>
      </c>
      <c r="F26" s="37">
        <v>0</v>
      </c>
      <c r="G26" s="39">
        <v>0</v>
      </c>
      <c r="H26" s="42"/>
    </row>
    <row r="27" spans="1:11">
      <c r="A27" s="21" t="s">
        <v>284</v>
      </c>
      <c r="B27" s="22"/>
      <c r="C27" s="37">
        <v>0</v>
      </c>
      <c r="D27" s="38">
        <v>0</v>
      </c>
      <c r="E27" s="38">
        <v>0</v>
      </c>
      <c r="F27" s="38">
        <v>0</v>
      </c>
      <c r="G27" s="39">
        <v>0</v>
      </c>
      <c r="H27" s="20"/>
      <c r="K27" s="97"/>
    </row>
    <row r="28" spans="1:8">
      <c r="A28" s="21" t="s">
        <v>284</v>
      </c>
      <c r="B28" s="22"/>
      <c r="C28" s="46">
        <v>0</v>
      </c>
      <c r="D28" s="47">
        <v>0</v>
      </c>
      <c r="E28" s="47">
        <v>0</v>
      </c>
      <c r="F28" s="47">
        <v>0</v>
      </c>
      <c r="G28" s="48">
        <v>0</v>
      </c>
      <c r="H28" s="20"/>
    </row>
    <row r="29" ht="15.15" spans="1:8">
      <c r="A29" s="61" t="s">
        <v>285</v>
      </c>
      <c r="B29" s="62"/>
      <c r="C29" s="63">
        <f>SUM(C22:C28)</f>
        <v>3922.5912</v>
      </c>
      <c r="D29" s="64">
        <f>SUM(D22:D28)</f>
        <v>3922.5912</v>
      </c>
      <c r="E29" s="64">
        <f>SUM(E22:E28)</f>
        <v>3922.5912</v>
      </c>
      <c r="F29" s="64">
        <f>SUM(F22:F28)</f>
        <v>3922.5912</v>
      </c>
      <c r="G29" s="65">
        <f>SUM(G22:G28)</f>
        <v>3922.5912</v>
      </c>
      <c r="H29" s="20"/>
    </row>
    <row r="30" ht="15.15" spans="1:8">
      <c r="A30" s="20"/>
      <c r="B30" s="20"/>
      <c r="C30" s="20"/>
      <c r="D30" s="20"/>
      <c r="E30" s="20"/>
      <c r="F30" s="20"/>
      <c r="G30" s="20"/>
      <c r="H30" s="20"/>
    </row>
    <row r="31" spans="1:8">
      <c r="A31" s="17" t="s">
        <v>52</v>
      </c>
      <c r="B31" s="18"/>
      <c r="C31" s="18"/>
      <c r="D31" s="18"/>
      <c r="E31" s="18"/>
      <c r="F31" s="18"/>
      <c r="G31" s="19"/>
      <c r="H31" s="20"/>
    </row>
    <row r="32" spans="1:8">
      <c r="A32" s="66"/>
      <c r="B32" s="67"/>
      <c r="C32" s="22"/>
      <c r="D32" s="22"/>
      <c r="E32" s="68"/>
      <c r="F32" s="69" t="s">
        <v>286</v>
      </c>
      <c r="G32" s="70"/>
      <c r="H32" s="20"/>
    </row>
    <row r="33" spans="1:8">
      <c r="A33" s="49"/>
      <c r="B33" s="22"/>
      <c r="C33" s="71" t="str">
        <f>+CHOOSE(TS!$P$14,'A3'!C6,'A3'!D6,'A3'!E6,'A3'!F6,'A3'!G6)</f>
        <v>Structure 1</v>
      </c>
      <c r="D33" s="22"/>
      <c r="E33" s="30" t="s">
        <v>219</v>
      </c>
      <c r="F33" s="30" t="s">
        <v>287</v>
      </c>
      <c r="G33" s="72" t="s">
        <v>288</v>
      </c>
      <c r="H33" s="20"/>
    </row>
    <row r="34" spans="1:8">
      <c r="A34" s="21" t="str">
        <f>A7</f>
        <v>Revolving Credit Facility Size</v>
      </c>
      <c r="B34" s="22"/>
      <c r="C34" s="22"/>
      <c r="D34" s="22"/>
      <c r="E34" s="58">
        <f>+CHOOSE(TS!$P$14,'A3'!C7,'A3'!D7,'A3'!E7,'A3'!F7,'A3'!G7)</f>
        <v>0</v>
      </c>
      <c r="F34" s="73">
        <v>0</v>
      </c>
      <c r="G34" s="60">
        <f t="shared" ref="G34:G40" si="1">+E34*F34</f>
        <v>0</v>
      </c>
      <c r="H34" s="20"/>
    </row>
    <row r="35" spans="1:8">
      <c r="A35" s="21" t="str">
        <f t="shared" ref="A35:A40" si="2">+A9</f>
        <v>Term Loan A</v>
      </c>
      <c r="B35" s="22"/>
      <c r="C35" s="22"/>
      <c r="D35" s="22"/>
      <c r="E35" s="43">
        <f>+CHOOSE(TS!$P$14,'A3'!C9,'A3'!D9,'A3'!E9,'A3'!F9,'A3'!G9)</f>
        <v>0</v>
      </c>
      <c r="F35" s="73">
        <v>0</v>
      </c>
      <c r="G35" s="74">
        <f t="shared" si="1"/>
        <v>0</v>
      </c>
      <c r="H35" s="20"/>
    </row>
    <row r="36" spans="1:8">
      <c r="A36" s="21" t="str">
        <f t="shared" si="2"/>
        <v>Term Loan B</v>
      </c>
      <c r="B36" s="22"/>
      <c r="C36" s="22"/>
      <c r="D36" s="22"/>
      <c r="E36" s="43">
        <f>+CHOOSE(TS!$P$14,'A3'!C10,'A3'!D10,'A3'!E10,'A3'!F10,'A3'!G10)</f>
        <v>0</v>
      </c>
      <c r="F36" s="73">
        <v>0</v>
      </c>
      <c r="G36" s="74">
        <f t="shared" si="1"/>
        <v>0</v>
      </c>
      <c r="H36" s="20"/>
    </row>
    <row r="37" spans="1:8">
      <c r="A37" s="21" t="str">
        <f t="shared" si="2"/>
        <v>Term Loan C</v>
      </c>
      <c r="B37" s="22"/>
      <c r="C37" s="22"/>
      <c r="D37" s="22"/>
      <c r="E37" s="43">
        <f>+CHOOSE(TS!$P$14,'A3'!C11,'A3'!D11,'A3'!E11,'A3'!F11,'A3'!G11)</f>
        <v>0</v>
      </c>
      <c r="F37" s="73">
        <v>0</v>
      </c>
      <c r="G37" s="74">
        <f t="shared" si="1"/>
        <v>0</v>
      </c>
      <c r="H37" s="20"/>
    </row>
    <row r="38" spans="1:8">
      <c r="A38" s="21" t="str">
        <f t="shared" si="2"/>
        <v>2nd Lien</v>
      </c>
      <c r="B38" s="22"/>
      <c r="C38" s="22"/>
      <c r="D38" s="22"/>
      <c r="E38" s="43">
        <f>+CHOOSE(TS!$P$14,'A3'!C12,'A3'!D12,'A3'!E12,'A3'!F12,'A3'!G12)</f>
        <v>0</v>
      </c>
      <c r="F38" s="73">
        <v>0</v>
      </c>
      <c r="G38" s="74">
        <f t="shared" si="1"/>
        <v>0</v>
      </c>
      <c r="H38" s="20"/>
    </row>
    <row r="39" spans="1:8">
      <c r="A39" s="21" t="str">
        <f t="shared" si="2"/>
        <v>Senior Notes</v>
      </c>
      <c r="B39" s="22"/>
      <c r="C39" s="22"/>
      <c r="D39" s="22"/>
      <c r="E39" s="43">
        <f>+CHOOSE(TS!$P$14,'A3'!C13,'A3'!D13,'A3'!E13,'A3'!F13,'A3'!G13)</f>
        <v>0</v>
      </c>
      <c r="F39" s="73">
        <v>0</v>
      </c>
      <c r="G39" s="74">
        <f t="shared" si="1"/>
        <v>0</v>
      </c>
      <c r="H39" s="20"/>
    </row>
    <row r="40" spans="1:8">
      <c r="A40" s="21" t="str">
        <f t="shared" si="2"/>
        <v>Senior Subordinated Notes</v>
      </c>
      <c r="B40" s="22"/>
      <c r="C40" s="22"/>
      <c r="D40" s="22"/>
      <c r="E40" s="43">
        <f>+CHOOSE(TS!$P$14,'A3'!C14,'A3'!D14,'A3'!E14,'A3'!F14,'A3'!G14)</f>
        <v>0</v>
      </c>
      <c r="F40" s="73">
        <v>0</v>
      </c>
      <c r="G40" s="74">
        <f t="shared" si="1"/>
        <v>0</v>
      </c>
      <c r="H40" s="20"/>
    </row>
    <row r="41" spans="1:8">
      <c r="A41" s="21" t="s">
        <v>289</v>
      </c>
      <c r="B41" s="22"/>
      <c r="C41" s="22"/>
      <c r="D41" s="22"/>
      <c r="E41" s="53"/>
      <c r="F41" s="22"/>
      <c r="G41" s="75">
        <v>0</v>
      </c>
      <c r="H41" s="20"/>
    </row>
    <row r="42" ht="15.15" spans="1:8">
      <c r="A42" s="61" t="s">
        <v>290</v>
      </c>
      <c r="B42" s="62"/>
      <c r="C42" s="62"/>
      <c r="D42" s="62"/>
      <c r="E42" s="76"/>
      <c r="F42" s="62"/>
      <c r="G42" s="77">
        <f>SUM(G34:G41)</f>
        <v>0</v>
      </c>
      <c r="H42" s="20"/>
    </row>
    <row r="43" ht="15.15" spans="1:13">
      <c r="A43" s="20"/>
      <c r="B43" s="20"/>
      <c r="C43" s="20"/>
      <c r="D43" s="20"/>
      <c r="E43" s="20"/>
      <c r="F43" s="20"/>
      <c r="G43" s="20"/>
      <c r="H43" s="20"/>
      <c r="I43" s="20"/>
      <c r="J43" s="96"/>
      <c r="K43" s="96"/>
      <c r="L43" s="96"/>
      <c r="M43" s="96"/>
    </row>
    <row r="44" spans="1:13">
      <c r="A44" s="78" t="s">
        <v>291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98"/>
    </row>
    <row r="45" spans="1:13">
      <c r="A45" s="21"/>
      <c r="B45" s="22"/>
      <c r="C45" s="80"/>
      <c r="D45" s="81">
        <f>+IS!G5</f>
        <v>1</v>
      </c>
      <c r="E45" s="81">
        <f>+IS!H5</f>
        <v>2</v>
      </c>
      <c r="F45" s="81">
        <f>+IS!I5</f>
        <v>3</v>
      </c>
      <c r="G45" s="81">
        <f>+IS!J5</f>
        <v>4</v>
      </c>
      <c r="H45" s="81">
        <f>+IS!K5</f>
        <v>5</v>
      </c>
      <c r="I45" s="81">
        <f>+IS!L5</f>
        <v>6</v>
      </c>
      <c r="J45" s="81">
        <f>+IS!M5</f>
        <v>7</v>
      </c>
      <c r="K45" s="81">
        <f>+IS!N5</f>
        <v>8</v>
      </c>
      <c r="L45" s="81">
        <f>+IS!O5</f>
        <v>9</v>
      </c>
      <c r="M45" s="99">
        <f>+IS!P5</f>
        <v>10</v>
      </c>
    </row>
    <row r="46" spans="1:13">
      <c r="A46" s="21"/>
      <c r="B46" s="22"/>
      <c r="C46" s="30" t="s">
        <v>211</v>
      </c>
      <c r="D46" s="30">
        <f>+IS!G6</f>
        <v>2025</v>
      </c>
      <c r="E46" s="30">
        <f>+IS!H6</f>
        <v>2026</v>
      </c>
      <c r="F46" s="30">
        <f>+IS!I6</f>
        <v>2027</v>
      </c>
      <c r="G46" s="30">
        <f>+IS!J6</f>
        <v>2028</v>
      </c>
      <c r="H46" s="30">
        <f>+IS!K6</f>
        <v>2029</v>
      </c>
      <c r="I46" s="30">
        <f>+IS!L6</f>
        <v>2030</v>
      </c>
      <c r="J46" s="30">
        <f>+IS!M6</f>
        <v>2031</v>
      </c>
      <c r="K46" s="30">
        <f>+IS!N6</f>
        <v>2032</v>
      </c>
      <c r="L46" s="30">
        <f>+IS!O6</f>
        <v>2033</v>
      </c>
      <c r="M46" s="72">
        <f>+IS!P6</f>
        <v>2034</v>
      </c>
    </row>
    <row r="47" spans="1:13">
      <c r="A47" s="21" t="str">
        <f t="shared" ref="A47:A54" si="3">+A34</f>
        <v>Revolving Credit Facility Size</v>
      </c>
      <c r="B47" s="22"/>
      <c r="C47" s="82">
        <f>+DS!B21</f>
        <v>0</v>
      </c>
      <c r="D47" s="58">
        <f t="shared" ref="D47:M47" si="4">+IF(D45&lt;=$C$47,$G$34/$C$47,0)</f>
        <v>0</v>
      </c>
      <c r="E47" s="58">
        <f t="shared" si="4"/>
        <v>0</v>
      </c>
      <c r="F47" s="58">
        <f t="shared" si="4"/>
        <v>0</v>
      </c>
      <c r="G47" s="58">
        <f t="shared" si="4"/>
        <v>0</v>
      </c>
      <c r="H47" s="58">
        <f t="shared" si="4"/>
        <v>0</v>
      </c>
      <c r="I47" s="58">
        <f t="shared" si="4"/>
        <v>0</v>
      </c>
      <c r="J47" s="58">
        <f t="shared" si="4"/>
        <v>0</v>
      </c>
      <c r="K47" s="58">
        <f t="shared" si="4"/>
        <v>0</v>
      </c>
      <c r="L47" s="58">
        <f t="shared" si="4"/>
        <v>0</v>
      </c>
      <c r="M47" s="60">
        <f t="shared" si="4"/>
        <v>0</v>
      </c>
    </row>
    <row r="48" spans="1:13">
      <c r="A48" s="21" t="str">
        <f t="shared" si="3"/>
        <v>Term Loan A</v>
      </c>
      <c r="B48" s="22"/>
      <c r="C48" s="82">
        <f>+DS!B36</f>
        <v>0</v>
      </c>
      <c r="D48" s="43">
        <f t="shared" ref="D48:M48" si="5">+IF(D45&lt;=$C$48,$G$35/$C$48,0)</f>
        <v>0</v>
      </c>
      <c r="E48" s="43">
        <f t="shared" si="5"/>
        <v>0</v>
      </c>
      <c r="F48" s="43">
        <f t="shared" si="5"/>
        <v>0</v>
      </c>
      <c r="G48" s="43">
        <f t="shared" si="5"/>
        <v>0</v>
      </c>
      <c r="H48" s="43">
        <f t="shared" si="5"/>
        <v>0</v>
      </c>
      <c r="I48" s="43">
        <f t="shared" si="5"/>
        <v>0</v>
      </c>
      <c r="J48" s="43">
        <f t="shared" si="5"/>
        <v>0</v>
      </c>
      <c r="K48" s="43">
        <f t="shared" si="5"/>
        <v>0</v>
      </c>
      <c r="L48" s="43">
        <f t="shared" si="5"/>
        <v>0</v>
      </c>
      <c r="M48" s="74">
        <f t="shared" si="5"/>
        <v>0</v>
      </c>
    </row>
    <row r="49" spans="1:13">
      <c r="A49" s="21" t="str">
        <f t="shared" si="3"/>
        <v>Term Loan B</v>
      </c>
      <c r="B49" s="22"/>
      <c r="C49" s="82">
        <f>+DS!B51</f>
        <v>0</v>
      </c>
      <c r="D49" s="43">
        <f t="shared" ref="D49:M49" si="6">+IF(D45&lt;=$C$49,$G$36/$C$49,0)</f>
        <v>0</v>
      </c>
      <c r="E49" s="43">
        <f t="shared" si="6"/>
        <v>0</v>
      </c>
      <c r="F49" s="43">
        <f t="shared" si="6"/>
        <v>0</v>
      </c>
      <c r="G49" s="43">
        <f t="shared" si="6"/>
        <v>0</v>
      </c>
      <c r="H49" s="43">
        <f t="shared" si="6"/>
        <v>0</v>
      </c>
      <c r="I49" s="43">
        <f t="shared" si="6"/>
        <v>0</v>
      </c>
      <c r="J49" s="43">
        <f t="shared" si="6"/>
        <v>0</v>
      </c>
      <c r="K49" s="43">
        <f t="shared" si="6"/>
        <v>0</v>
      </c>
      <c r="L49" s="43">
        <f t="shared" si="6"/>
        <v>0</v>
      </c>
      <c r="M49" s="74">
        <f t="shared" si="6"/>
        <v>0</v>
      </c>
    </row>
    <row r="50" spans="1:13">
      <c r="A50" s="21" t="str">
        <f t="shared" si="3"/>
        <v>Term Loan C</v>
      </c>
      <c r="B50" s="22"/>
      <c r="C50" s="82">
        <f>+DS!B66</f>
        <v>0</v>
      </c>
      <c r="D50" s="43">
        <f t="shared" ref="D50:M50" si="7">+IF(D45&lt;=$C$50,$G$37/$C$50,0)</f>
        <v>0</v>
      </c>
      <c r="E50" s="43">
        <f t="shared" si="7"/>
        <v>0</v>
      </c>
      <c r="F50" s="43">
        <f t="shared" si="7"/>
        <v>0</v>
      </c>
      <c r="G50" s="43">
        <f t="shared" si="7"/>
        <v>0</v>
      </c>
      <c r="H50" s="43">
        <f t="shared" si="7"/>
        <v>0</v>
      </c>
      <c r="I50" s="43">
        <f t="shared" si="7"/>
        <v>0</v>
      </c>
      <c r="J50" s="43">
        <f t="shared" si="7"/>
        <v>0</v>
      </c>
      <c r="K50" s="43">
        <f t="shared" si="7"/>
        <v>0</v>
      </c>
      <c r="L50" s="43">
        <f t="shared" si="7"/>
        <v>0</v>
      </c>
      <c r="M50" s="74">
        <f t="shared" si="7"/>
        <v>0</v>
      </c>
    </row>
    <row r="51" spans="1:13">
      <c r="A51" s="21" t="str">
        <f t="shared" si="3"/>
        <v>2nd Lien</v>
      </c>
      <c r="B51" s="22"/>
      <c r="C51" s="82">
        <f>+DS!B96</f>
        <v>0</v>
      </c>
      <c r="D51" s="43">
        <f t="shared" ref="D51:M51" si="8">+IF(D46&lt;=$C$51,$G$38/$C$51,0)</f>
        <v>0</v>
      </c>
      <c r="E51" s="43">
        <f t="shared" si="8"/>
        <v>0</v>
      </c>
      <c r="F51" s="43">
        <f t="shared" si="8"/>
        <v>0</v>
      </c>
      <c r="G51" s="43">
        <f t="shared" si="8"/>
        <v>0</v>
      </c>
      <c r="H51" s="43">
        <f t="shared" si="8"/>
        <v>0</v>
      </c>
      <c r="I51" s="43">
        <f t="shared" si="8"/>
        <v>0</v>
      </c>
      <c r="J51" s="43">
        <f t="shared" si="8"/>
        <v>0</v>
      </c>
      <c r="K51" s="43">
        <f t="shared" si="8"/>
        <v>0</v>
      </c>
      <c r="L51" s="43">
        <f t="shared" si="8"/>
        <v>0</v>
      </c>
      <c r="M51" s="74">
        <f t="shared" si="8"/>
        <v>0</v>
      </c>
    </row>
    <row r="52" spans="1:13">
      <c r="A52" s="21" t="str">
        <f t="shared" si="3"/>
        <v>Senior Notes</v>
      </c>
      <c r="B52" s="22"/>
      <c r="C52" s="82">
        <f>+DS!B108</f>
        <v>0</v>
      </c>
      <c r="D52" s="43">
        <f t="shared" ref="D52:M52" si="9">+IF(D45&lt;=$C$52,$G$39/$C$52,0)</f>
        <v>0</v>
      </c>
      <c r="E52" s="43">
        <f t="shared" si="9"/>
        <v>0</v>
      </c>
      <c r="F52" s="43">
        <f t="shared" si="9"/>
        <v>0</v>
      </c>
      <c r="G52" s="43">
        <f t="shared" si="9"/>
        <v>0</v>
      </c>
      <c r="H52" s="43">
        <f t="shared" si="9"/>
        <v>0</v>
      </c>
      <c r="I52" s="43">
        <f t="shared" si="9"/>
        <v>0</v>
      </c>
      <c r="J52" s="43">
        <f t="shared" si="9"/>
        <v>0</v>
      </c>
      <c r="K52" s="43">
        <f t="shared" si="9"/>
        <v>0</v>
      </c>
      <c r="L52" s="43">
        <f t="shared" si="9"/>
        <v>0</v>
      </c>
      <c r="M52" s="74">
        <f t="shared" si="9"/>
        <v>0</v>
      </c>
    </row>
    <row r="53" spans="1:13">
      <c r="A53" s="21" t="str">
        <f t="shared" si="3"/>
        <v>Senior Subordinated Notes</v>
      </c>
      <c r="B53" s="22"/>
      <c r="C53" s="82">
        <f>+DS!B119</f>
        <v>0</v>
      </c>
      <c r="D53" s="43">
        <f t="shared" ref="D53:M53" si="10">+IF(D45&lt;=$C$53,$G$40/$C$53,0)</f>
        <v>0</v>
      </c>
      <c r="E53" s="43">
        <f t="shared" si="10"/>
        <v>0</v>
      </c>
      <c r="F53" s="43">
        <f t="shared" si="10"/>
        <v>0</v>
      </c>
      <c r="G53" s="43">
        <f t="shared" si="10"/>
        <v>0</v>
      </c>
      <c r="H53" s="43">
        <f t="shared" si="10"/>
        <v>0</v>
      </c>
      <c r="I53" s="43">
        <f t="shared" si="10"/>
        <v>0</v>
      </c>
      <c r="J53" s="43">
        <f t="shared" si="10"/>
        <v>0</v>
      </c>
      <c r="K53" s="43">
        <f t="shared" si="10"/>
        <v>0</v>
      </c>
      <c r="L53" s="43">
        <f t="shared" si="10"/>
        <v>0</v>
      </c>
      <c r="M53" s="74">
        <f t="shared" si="10"/>
        <v>0</v>
      </c>
    </row>
    <row r="54" spans="1:13">
      <c r="A54" s="21" t="str">
        <f t="shared" si="3"/>
        <v>Other Financing Fees &amp; Expenses</v>
      </c>
      <c r="B54" s="22"/>
      <c r="C54" s="82"/>
      <c r="D54" s="83">
        <f t="shared" ref="D54:M54" si="11">+IF(D45&lt;=$C$54,$G$41/$C$54,0)</f>
        <v>0</v>
      </c>
      <c r="E54" s="83">
        <f t="shared" si="11"/>
        <v>0</v>
      </c>
      <c r="F54" s="83">
        <f t="shared" si="11"/>
        <v>0</v>
      </c>
      <c r="G54" s="83">
        <f t="shared" si="11"/>
        <v>0</v>
      </c>
      <c r="H54" s="83">
        <f t="shared" si="11"/>
        <v>0</v>
      </c>
      <c r="I54" s="83">
        <f t="shared" si="11"/>
        <v>0</v>
      </c>
      <c r="J54" s="83">
        <f t="shared" si="11"/>
        <v>0</v>
      </c>
      <c r="K54" s="83">
        <f t="shared" si="11"/>
        <v>0</v>
      </c>
      <c r="L54" s="83">
        <f t="shared" si="11"/>
        <v>0</v>
      </c>
      <c r="M54" s="93">
        <f t="shared" si="11"/>
        <v>0</v>
      </c>
    </row>
    <row r="55" ht="15.15" spans="1:13">
      <c r="A55" s="61" t="s">
        <v>292</v>
      </c>
      <c r="B55" s="62"/>
      <c r="C55" s="84"/>
      <c r="D55" s="84">
        <f>IF(TS!$P$19=1,SUM(D47:D54),0)</f>
        <v>0</v>
      </c>
      <c r="E55" s="84">
        <f>IF(TS!$P$19=1,SUM(E47:E54),0)</f>
        <v>0</v>
      </c>
      <c r="F55" s="84">
        <f>IF(TS!$P$19=1,SUM(F47:F54),0)</f>
        <v>0</v>
      </c>
      <c r="G55" s="84">
        <f>IF(TS!$P$19=1,SUM(G47:G54),0)</f>
        <v>0</v>
      </c>
      <c r="H55" s="84">
        <f>IF(TS!$P$19=1,SUM(H47:H54),0)</f>
        <v>0</v>
      </c>
      <c r="I55" s="84">
        <f>IF(TS!$P$19=1,SUM(I47:I54),0)</f>
        <v>0</v>
      </c>
      <c r="J55" s="84">
        <f>IF(TS!$P$19=1,SUM(J47:J54),0)</f>
        <v>0</v>
      </c>
      <c r="K55" s="84">
        <f>IF(TS!$P$19=1,SUM(K47:K54),0)</f>
        <v>0</v>
      </c>
      <c r="L55" s="84">
        <f>IF(TS!$P$19=1,SUM(L47:L54),0)</f>
        <v>0</v>
      </c>
      <c r="M55" s="77">
        <f>IF(TS!$P$19=1,SUM(M47:M54),0)</f>
        <v>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University of Technology Sydney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TS</vt:lpstr>
      <vt:lpstr>IS</vt:lpstr>
      <vt:lpstr>BS</vt:lpstr>
      <vt:lpstr>CF</vt:lpstr>
      <vt:lpstr>DS</vt:lpstr>
      <vt:lpstr>RA</vt:lpstr>
      <vt:lpstr>A1</vt:lpstr>
      <vt:lpstr>A2</vt:lpstr>
      <vt:lpstr>A3</vt:lpstr>
      <vt:lpstr>Profitability</vt:lpstr>
      <vt:lpstr>Questions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Navone</dc:creator>
  <cp:lastModifiedBy>91860</cp:lastModifiedBy>
  <dcterms:created xsi:type="dcterms:W3CDTF">2020-03-04T05:20:00Z</dcterms:created>
  <dcterms:modified xsi:type="dcterms:W3CDTF">2023-10-16T13:36:30Z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4f0713-8a76-46fc-9033-3e1b6c45971d_Enabled">
    <vt:lpwstr>true</vt:lpwstr>
  </property>
  <property fmtid="{D5CDD505-2E9C-101B-9397-08002B2CF9AE}" pid="3" name="MSIP_Label_ba4f0713-8a76-46fc-9033-3e1b6c45971d_SetDate">
    <vt:lpwstr>2021-08-23T22:19:46Z</vt:lpwstr>
  </property>
  <property fmtid="{D5CDD505-2E9C-101B-9397-08002B2CF9AE}" pid="4" name="MSIP_Label_ba4f0713-8a76-46fc-9033-3e1b6c45971d_Method">
    <vt:lpwstr>Privileged</vt:lpwstr>
  </property>
  <property fmtid="{D5CDD505-2E9C-101B-9397-08002B2CF9AE}" pid="5" name="MSIP_Label_ba4f0713-8a76-46fc-9033-3e1b6c45971d_Name">
    <vt:lpwstr>UTS-Public</vt:lpwstr>
  </property>
  <property fmtid="{D5CDD505-2E9C-101B-9397-08002B2CF9AE}" pid="6" name="MSIP_Label_ba4f0713-8a76-46fc-9033-3e1b6c45971d_SiteId">
    <vt:lpwstr>e8911c26-cf9f-4a9c-878e-527807be8791</vt:lpwstr>
  </property>
  <property fmtid="{D5CDD505-2E9C-101B-9397-08002B2CF9AE}" pid="7" name="MSIP_Label_ba4f0713-8a76-46fc-9033-3e1b6c45971d_ActionId">
    <vt:lpwstr>408a648c-09f1-4587-8473-8a0e41107656</vt:lpwstr>
  </property>
  <property fmtid="{D5CDD505-2E9C-101B-9397-08002B2CF9AE}" pid="8" name="MSIP_Label_ba4f0713-8a76-46fc-9033-3e1b6c45971d_ContentBits">
    <vt:lpwstr>0</vt:lpwstr>
  </property>
  <property fmtid="{D5CDD505-2E9C-101B-9397-08002B2CF9AE}" pid="9" name="KSOProductBuildVer">
    <vt:lpwstr>1033-11.2.0.11225</vt:lpwstr>
  </property>
  <property fmtid="{D5CDD505-2E9C-101B-9397-08002B2CF9AE}" pid="10" name="ICV">
    <vt:lpwstr>E004A0DA50404EF5A3834879647AA578</vt:lpwstr>
  </property>
</Properties>
</file>